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64O\Desktop\"/>
    </mc:Choice>
  </mc:AlternateContent>
  <bookViews>
    <workbookView xWindow="0" yWindow="0" windowWidth="19200" windowHeight="5790"/>
  </bookViews>
  <sheets>
    <sheet name="תוצאות מכרז יומי " sheetId="1" r:id="rId1"/>
  </sheets>
  <calcPr calcId="162913"/>
</workbook>
</file>

<file path=xl/calcChain.xml><?xml version="1.0" encoding="utf-8"?>
<calcChain xmlns="http://schemas.openxmlformats.org/spreadsheetml/2006/main">
  <c r="A5323" i="1" l="1"/>
  <c r="A5322" i="1"/>
  <c r="A5321" i="1"/>
  <c r="A5320" i="1"/>
  <c r="A5319" i="1"/>
  <c r="A5318" i="1"/>
  <c r="A5317" i="1"/>
  <c r="A5316" i="1"/>
  <c r="A5315" i="1"/>
  <c r="A5314" i="1"/>
  <c r="A5313" i="1"/>
  <c r="A5312" i="1"/>
  <c r="A5311" i="1"/>
  <c r="A5310" i="1"/>
  <c r="A5309" i="1"/>
  <c r="A5308" i="1"/>
  <c r="A5307" i="1"/>
  <c r="A5306" i="1"/>
  <c r="A5305" i="1"/>
  <c r="A5304" i="1"/>
  <c r="A5303" i="1"/>
  <c r="A5302" i="1"/>
  <c r="A5301" i="1"/>
  <c r="A5300" i="1"/>
  <c r="A5299" i="1"/>
  <c r="A5298" i="1"/>
  <c r="A5297" i="1"/>
  <c r="A5296" i="1"/>
  <c r="A5295" i="1"/>
  <c r="A5294" i="1"/>
  <c r="A5293" i="1"/>
  <c r="A5292" i="1"/>
  <c r="A5291" i="1"/>
  <c r="A5290" i="1"/>
  <c r="A5289" i="1"/>
  <c r="A5288" i="1"/>
  <c r="A5287" i="1"/>
  <c r="A5286" i="1"/>
  <c r="A5285" i="1"/>
  <c r="A5284" i="1"/>
  <c r="A5283" i="1"/>
  <c r="A5282" i="1"/>
  <c r="A5281" i="1"/>
  <c r="A5280" i="1"/>
  <c r="A5279" i="1"/>
  <c r="A5278" i="1"/>
  <c r="A5277" i="1"/>
  <c r="A5276" i="1"/>
  <c r="A5275" i="1"/>
  <c r="A5274" i="1"/>
  <c r="A5273" i="1"/>
  <c r="A5272" i="1"/>
  <c r="A5271" i="1"/>
  <c r="A5270" i="1"/>
  <c r="A5269" i="1"/>
  <c r="A5268" i="1"/>
  <c r="A5267" i="1"/>
  <c r="A5266" i="1"/>
  <c r="A5265" i="1"/>
  <c r="A5264" i="1"/>
  <c r="A5262" i="1"/>
  <c r="A5263" i="1"/>
  <c r="A5261" i="1"/>
  <c r="A5260" i="1"/>
  <c r="A5259" i="1"/>
  <c r="A5258" i="1"/>
  <c r="A5257" i="1"/>
  <c r="A5256" i="1"/>
  <c r="A5255" i="1"/>
  <c r="A5254" i="1"/>
  <c r="A5253" i="1"/>
  <c r="A5252" i="1"/>
  <c r="A5251" i="1"/>
  <c r="A5250" i="1"/>
  <c r="A5249" i="1"/>
  <c r="A5248" i="1"/>
  <c r="A5247" i="1"/>
  <c r="A5246" i="1"/>
  <c r="A5245" i="1"/>
  <c r="A5244" i="1"/>
  <c r="A5243" i="1"/>
  <c r="A5242" i="1"/>
  <c r="A5241" i="1"/>
  <c r="A5240" i="1"/>
  <c r="A5239" i="1"/>
  <c r="A5238" i="1"/>
  <c r="A5237" i="1"/>
  <c r="A5236" i="1"/>
  <c r="A5235" i="1"/>
  <c r="A5234" i="1"/>
  <c r="A5233" i="1"/>
  <c r="A5232" i="1"/>
  <c r="A5231" i="1"/>
  <c r="A5230" i="1"/>
  <c r="A5229" i="1"/>
  <c r="A5228" i="1"/>
  <c r="A5227" i="1"/>
  <c r="A5226" i="1"/>
  <c r="A5225" i="1"/>
  <c r="A5224" i="1"/>
  <c r="A5223" i="1"/>
  <c r="A5222" i="1"/>
  <c r="A5221" i="1"/>
  <c r="A5220" i="1"/>
  <c r="A5219" i="1"/>
  <c r="A5218" i="1"/>
  <c r="A5217" i="1"/>
  <c r="A5216" i="1"/>
  <c r="A5215" i="1"/>
  <c r="A5214" i="1"/>
  <c r="A5213" i="1"/>
  <c r="A5212" i="1"/>
  <c r="A5211" i="1"/>
  <c r="A5210" i="1"/>
  <c r="A5209" i="1"/>
  <c r="A5208" i="1"/>
  <c r="A5207" i="1"/>
  <c r="A5206" i="1"/>
  <c r="A5205" i="1"/>
  <c r="A5204" i="1"/>
  <c r="A5203" i="1"/>
  <c r="A5202" i="1"/>
  <c r="A5201" i="1"/>
  <c r="A5200" i="1"/>
  <c r="A5199" i="1"/>
  <c r="A5198" i="1"/>
  <c r="A5197" i="1"/>
  <c r="A5196" i="1"/>
  <c r="A5195" i="1"/>
  <c r="A5194" i="1"/>
  <c r="A5193" i="1"/>
  <c r="A5192" i="1"/>
  <c r="A5191" i="1"/>
  <c r="A5190" i="1"/>
  <c r="A5189" i="1"/>
  <c r="A5188" i="1"/>
  <c r="A5187" i="1"/>
  <c r="A5186" i="1"/>
  <c r="A5185" i="1"/>
  <c r="A5184" i="1"/>
  <c r="A5183" i="1"/>
  <c r="A5182" i="1"/>
  <c r="A5181" i="1"/>
  <c r="A5180" i="1"/>
  <c r="A5179" i="1"/>
  <c r="A5178" i="1"/>
  <c r="A5177" i="1"/>
  <c r="A5176" i="1"/>
  <c r="A5175" i="1"/>
  <c r="A5174" i="1"/>
  <c r="A5173" i="1"/>
  <c r="A5172" i="1"/>
  <c r="A5171" i="1"/>
  <c r="A5170" i="1"/>
  <c r="A5169" i="1"/>
  <c r="A5168" i="1"/>
  <c r="A5167" i="1"/>
  <c r="A5166" i="1"/>
  <c r="A5165" i="1"/>
  <c r="A5164" i="1"/>
  <c r="A5163" i="1"/>
  <c r="A5162" i="1"/>
  <c r="A5161" i="1"/>
  <c r="A5160" i="1"/>
  <c r="A5159" i="1"/>
  <c r="A5158" i="1"/>
  <c r="A5157" i="1"/>
  <c r="A5156" i="1"/>
  <c r="A5155" i="1"/>
  <c r="A5154" i="1"/>
  <c r="A5153" i="1"/>
  <c r="A5152" i="1"/>
  <c r="A5151" i="1"/>
  <c r="A5150" i="1"/>
  <c r="A5149" i="1"/>
  <c r="A5148" i="1"/>
  <c r="A5147" i="1"/>
  <c r="A5146" i="1"/>
  <c r="A5145" i="1"/>
  <c r="A5144" i="1"/>
  <c r="A5143" i="1"/>
  <c r="A5142" i="1"/>
  <c r="A5141" i="1"/>
  <c r="A5140" i="1"/>
  <c r="A5139" i="1"/>
  <c r="A5138" i="1"/>
  <c r="A5137" i="1"/>
  <c r="A5136" i="1"/>
  <c r="A5135" i="1"/>
  <c r="A5134" i="1"/>
  <c r="A5133" i="1"/>
  <c r="A5132" i="1"/>
  <c r="A5131" i="1"/>
  <c r="A5130" i="1"/>
  <c r="A5129" i="1"/>
  <c r="A5128" i="1"/>
  <c r="A5127" i="1"/>
  <c r="A5126" i="1"/>
  <c r="A5125" i="1"/>
  <c r="A5124" i="1"/>
  <c r="A5123" i="1"/>
  <c r="A5122" i="1"/>
  <c r="A5121" i="1"/>
  <c r="A5120" i="1"/>
  <c r="A5119" i="1"/>
  <c r="A5118" i="1"/>
  <c r="A5117" i="1"/>
  <c r="A5116" i="1"/>
  <c r="A5115" i="1"/>
  <c r="A5114" i="1"/>
  <c r="A5113" i="1"/>
  <c r="A5112" i="1"/>
  <c r="A5111" i="1"/>
  <c r="A5110" i="1"/>
  <c r="A5109" i="1"/>
  <c r="A5108" i="1"/>
  <c r="A5107" i="1"/>
  <c r="A5106" i="1"/>
  <c r="A5105" i="1"/>
  <c r="A5104" i="1"/>
  <c r="A5103" i="1"/>
  <c r="A5102" i="1"/>
  <c r="A5101" i="1"/>
  <c r="A5100" i="1"/>
  <c r="A5099" i="1"/>
  <c r="A5098" i="1"/>
  <c r="A5097" i="1"/>
  <c r="A5096" i="1"/>
  <c r="A5095" i="1"/>
  <c r="A5094" i="1"/>
  <c r="A5093" i="1"/>
  <c r="A5092" i="1"/>
  <c r="A5091" i="1"/>
  <c r="A5090" i="1"/>
  <c r="A5089" i="1"/>
  <c r="A5088" i="1"/>
  <c r="A5087" i="1"/>
  <c r="A5086" i="1"/>
  <c r="A5085" i="1"/>
  <c r="A5084" i="1"/>
  <c r="A5083" i="1"/>
  <c r="A5082" i="1"/>
  <c r="A5081" i="1"/>
  <c r="A5080" i="1"/>
  <c r="A5079" i="1"/>
  <c r="A5078" i="1"/>
  <c r="A5077" i="1"/>
  <c r="A5075" i="1"/>
  <c r="A5076" i="1"/>
  <c r="A5074" i="1"/>
  <c r="A5073" i="1"/>
  <c r="A5072" i="1"/>
  <c r="A5071" i="1"/>
  <c r="A5070" i="1"/>
  <c r="A5069" i="1"/>
  <c r="A5068" i="1"/>
  <c r="A5067" i="1"/>
  <c r="A5066" i="1"/>
  <c r="A5065" i="1"/>
  <c r="A5064" i="1"/>
  <c r="A5063" i="1"/>
  <c r="A5062" i="1"/>
  <c r="A5061" i="1"/>
  <c r="A5060" i="1"/>
  <c r="A5059" i="1"/>
  <c r="A5058" i="1"/>
  <c r="A5057" i="1"/>
  <c r="A5056" i="1"/>
  <c r="A5055" i="1"/>
  <c r="A5054" i="1"/>
  <c r="A5053" i="1"/>
  <c r="A5052" i="1"/>
  <c r="A5051" i="1"/>
  <c r="A5050" i="1"/>
  <c r="A5049" i="1"/>
  <c r="A5048" i="1"/>
  <c r="A5047" i="1"/>
  <c r="A5046" i="1"/>
  <c r="A5045" i="1"/>
  <c r="A5044" i="1"/>
  <c r="A5043" i="1"/>
  <c r="A5042" i="1"/>
  <c r="A5041" i="1"/>
  <c r="A5040" i="1"/>
  <c r="A5039" i="1"/>
  <c r="A5038" i="1"/>
  <c r="A5037" i="1"/>
  <c r="A5036" i="1"/>
  <c r="A5035" i="1"/>
  <c r="A5034" i="1"/>
  <c r="A5033" i="1"/>
  <c r="A5032" i="1"/>
  <c r="A5031" i="1"/>
  <c r="A5030" i="1"/>
  <c r="A5029" i="1"/>
  <c r="A5028" i="1"/>
  <c r="A5027" i="1"/>
  <c r="A5026" i="1"/>
  <c r="A5025" i="1"/>
  <c r="A5024" i="1"/>
  <c r="A5023" i="1"/>
  <c r="A5022" i="1"/>
  <c r="A5021" i="1"/>
  <c r="A5020" i="1"/>
  <c r="A5019" i="1"/>
  <c r="A5018" i="1"/>
  <c r="A5017" i="1"/>
  <c r="A5016" i="1"/>
  <c r="A5015" i="1"/>
  <c r="A5014" i="1"/>
  <c r="A5013" i="1"/>
  <c r="A5012" i="1"/>
  <c r="A5011" i="1"/>
  <c r="A5010" i="1"/>
  <c r="A5009" i="1"/>
  <c r="A5008" i="1"/>
  <c r="A5007" i="1"/>
  <c r="A5006" i="1"/>
  <c r="A5005" i="1"/>
  <c r="A5004" i="1"/>
  <c r="A5003" i="1"/>
  <c r="A5002" i="1"/>
  <c r="A5001" i="1"/>
  <c r="A5000" i="1"/>
  <c r="A4999" i="1"/>
  <c r="A4998" i="1"/>
  <c r="A4997" i="1"/>
  <c r="A4996" i="1"/>
  <c r="A4995" i="1"/>
  <c r="A4994" i="1"/>
  <c r="A4993" i="1"/>
  <c r="A4992" i="1"/>
  <c r="A4991" i="1"/>
  <c r="A4990" i="1"/>
  <c r="A4989" i="1"/>
  <c r="A4988" i="1"/>
  <c r="A4987" i="1"/>
  <c r="A4986" i="1"/>
  <c r="A4985" i="1"/>
  <c r="A4984" i="1"/>
  <c r="A4983" i="1"/>
  <c r="A4982" i="1"/>
  <c r="A4981" i="1"/>
  <c r="A4980" i="1"/>
  <c r="A4979" i="1"/>
  <c r="A4978" i="1"/>
  <c r="A4977" i="1"/>
  <c r="A4976" i="1"/>
  <c r="A4975" i="1"/>
  <c r="A4974" i="1"/>
  <c r="A4973" i="1"/>
  <c r="A4972" i="1"/>
  <c r="A4971" i="1"/>
  <c r="A4970" i="1"/>
  <c r="A4969" i="1"/>
  <c r="A4968" i="1"/>
  <c r="A4967" i="1"/>
  <c r="A4966" i="1"/>
  <c r="A4965" i="1"/>
  <c r="A4964" i="1"/>
  <c r="A4963" i="1"/>
  <c r="A4962" i="1"/>
  <c r="A4961" i="1"/>
  <c r="A4960" i="1"/>
  <c r="A4959" i="1"/>
  <c r="A4958" i="1"/>
  <c r="A4957" i="1"/>
  <c r="A4956" i="1"/>
  <c r="A4955" i="1"/>
  <c r="A4954" i="1"/>
  <c r="A4952" i="1"/>
  <c r="A4953" i="1"/>
  <c r="A4951" i="1"/>
  <c r="A4950" i="1"/>
  <c r="A4949" i="1"/>
  <c r="A4948" i="1"/>
  <c r="A4947" i="1"/>
  <c r="A4946" i="1"/>
  <c r="A4945" i="1"/>
  <c r="A4944" i="1"/>
  <c r="A4943" i="1"/>
  <c r="A4942" i="1"/>
  <c r="A4941" i="1"/>
  <c r="A4940" i="1"/>
  <c r="A4939" i="1"/>
  <c r="A4938" i="1"/>
  <c r="A4937" i="1"/>
  <c r="A4936" i="1"/>
  <c r="A4935" i="1"/>
  <c r="A4934" i="1"/>
  <c r="A4933" i="1"/>
  <c r="A4932" i="1"/>
  <c r="A4931" i="1"/>
  <c r="A4930" i="1"/>
  <c r="A4929" i="1"/>
  <c r="A4928" i="1"/>
  <c r="A4927" i="1"/>
  <c r="A4926" i="1"/>
  <c r="A4925" i="1"/>
  <c r="A4924" i="1"/>
  <c r="A4923" i="1"/>
  <c r="A4922" i="1"/>
  <c r="A4921" i="1"/>
  <c r="A4920" i="1"/>
  <c r="A4919" i="1"/>
  <c r="A4918" i="1"/>
  <c r="A4917" i="1"/>
  <c r="A4916" i="1"/>
  <c r="A4915" i="1"/>
  <c r="A4914" i="1"/>
  <c r="A4913" i="1"/>
  <c r="A4912" i="1"/>
  <c r="A4911" i="1"/>
  <c r="A4910" i="1"/>
  <c r="A4909" i="1"/>
  <c r="A4908" i="1"/>
  <c r="A4907" i="1"/>
  <c r="A4906" i="1"/>
  <c r="A4905" i="1"/>
  <c r="A4904" i="1"/>
  <c r="A4903" i="1"/>
  <c r="A4902" i="1"/>
  <c r="A4901" i="1"/>
  <c r="A4900" i="1"/>
  <c r="A4899" i="1"/>
  <c r="A4898" i="1"/>
  <c r="A4897" i="1"/>
  <c r="A4896" i="1"/>
  <c r="A4895" i="1"/>
  <c r="A4894" i="1"/>
  <c r="A4893" i="1"/>
  <c r="A4892" i="1"/>
  <c r="A4891" i="1"/>
  <c r="A4890" i="1"/>
  <c r="A4889" i="1"/>
  <c r="A4888" i="1"/>
  <c r="A4887" i="1"/>
  <c r="A4886" i="1"/>
  <c r="A4885" i="1"/>
  <c r="A4884" i="1"/>
  <c r="A4883" i="1"/>
  <c r="A4882" i="1"/>
  <c r="A4881" i="1"/>
  <c r="A4880" i="1"/>
  <c r="A4879" i="1"/>
  <c r="A4878" i="1"/>
  <c r="A4877" i="1"/>
  <c r="A4876" i="1"/>
  <c r="A4875" i="1"/>
  <c r="A4874" i="1"/>
  <c r="A4873" i="1"/>
  <c r="A4872" i="1"/>
  <c r="A4871" i="1"/>
  <c r="A4870" i="1"/>
  <c r="A4869" i="1"/>
  <c r="A4868" i="1"/>
  <c r="A4867" i="1"/>
  <c r="A4866" i="1"/>
  <c r="A4865" i="1"/>
  <c r="A4864" i="1"/>
  <c r="A4863" i="1"/>
  <c r="A4862" i="1"/>
  <c r="A4861" i="1"/>
  <c r="A4860" i="1"/>
  <c r="A4859" i="1"/>
  <c r="A4858" i="1"/>
  <c r="A4857" i="1"/>
  <c r="A4856" i="1"/>
  <c r="A4855" i="1"/>
  <c r="A4854" i="1"/>
  <c r="A4853" i="1"/>
  <c r="A4852" i="1"/>
  <c r="A4851" i="1"/>
  <c r="A4850" i="1"/>
  <c r="A4849" i="1"/>
  <c r="A4848" i="1"/>
  <c r="A4847" i="1"/>
  <c r="A4846" i="1"/>
  <c r="A4845" i="1"/>
  <c r="A4844" i="1"/>
  <c r="A4843" i="1"/>
  <c r="A4842" i="1"/>
  <c r="A4841" i="1"/>
  <c r="A4840" i="1"/>
  <c r="A4839" i="1"/>
  <c r="A4838" i="1"/>
  <c r="A4837" i="1"/>
  <c r="A4836" i="1"/>
  <c r="A4835" i="1"/>
  <c r="A4834" i="1"/>
  <c r="A4833" i="1"/>
  <c r="A4832" i="1"/>
  <c r="A4831" i="1"/>
  <c r="A4830" i="1"/>
  <c r="A4829" i="1"/>
  <c r="A4828" i="1"/>
  <c r="A4827" i="1"/>
  <c r="A4826" i="1"/>
  <c r="A4825" i="1"/>
  <c r="A4824" i="1"/>
  <c r="A4823" i="1"/>
  <c r="A4822" i="1"/>
  <c r="A4821" i="1"/>
  <c r="A4820" i="1"/>
  <c r="A4819" i="1"/>
  <c r="A4818" i="1"/>
  <c r="A4817" i="1"/>
  <c r="A4816" i="1"/>
  <c r="A4815" i="1"/>
  <c r="A4814" i="1"/>
  <c r="A4813" i="1"/>
  <c r="A4812" i="1"/>
  <c r="A4811" i="1"/>
  <c r="A4810" i="1"/>
  <c r="A4809" i="1"/>
  <c r="A4808" i="1"/>
  <c r="A4807" i="1"/>
  <c r="A4806" i="1"/>
  <c r="A4805" i="1"/>
  <c r="A4804" i="1"/>
  <c r="A4803" i="1"/>
  <c r="A4802" i="1"/>
  <c r="A4801" i="1"/>
  <c r="A4800" i="1"/>
  <c r="A4799" i="1"/>
  <c r="A4798" i="1"/>
  <c r="A4797" i="1"/>
  <c r="A4796" i="1"/>
  <c r="A4795" i="1"/>
  <c r="A4794" i="1"/>
  <c r="A4793" i="1"/>
  <c r="A4792" i="1"/>
  <c r="A4791" i="1"/>
  <c r="A4790" i="1"/>
  <c r="A4789" i="1"/>
  <c r="A4788" i="1"/>
  <c r="A4787" i="1"/>
  <c r="A4786" i="1"/>
  <c r="A4785" i="1"/>
  <c r="A4784" i="1"/>
  <c r="A4783" i="1"/>
  <c r="A4782" i="1"/>
  <c r="A4781" i="1"/>
  <c r="A4780" i="1"/>
  <c r="A4779" i="1"/>
  <c r="A4778" i="1"/>
  <c r="A4777" i="1"/>
  <c r="A4776" i="1"/>
  <c r="A4775" i="1"/>
  <c r="A4774" i="1"/>
  <c r="A4773" i="1"/>
  <c r="A4772" i="1"/>
  <c r="A4771" i="1"/>
  <c r="A4769" i="1"/>
  <c r="A4770" i="1"/>
  <c r="A4768" i="1"/>
  <c r="A4767" i="1"/>
  <c r="A4766" i="1"/>
  <c r="A4765" i="1"/>
  <c r="A4764" i="1"/>
  <c r="A4763" i="1"/>
  <c r="A4762" i="1"/>
  <c r="A4761" i="1"/>
  <c r="A4760" i="1"/>
  <c r="A4759" i="1"/>
  <c r="A4758" i="1"/>
  <c r="A4757" i="1"/>
  <c r="A4756" i="1"/>
  <c r="A4755" i="1"/>
  <c r="A4754" i="1"/>
  <c r="A4753" i="1"/>
  <c r="A4752" i="1"/>
  <c r="A4751" i="1"/>
  <c r="A4750" i="1"/>
  <c r="A4749" i="1"/>
  <c r="A4748" i="1"/>
  <c r="A4747" i="1"/>
  <c r="A4746" i="1"/>
  <c r="A4745" i="1"/>
  <c r="A4744" i="1"/>
  <c r="A4743" i="1"/>
  <c r="A4742" i="1"/>
  <c r="A4741" i="1"/>
  <c r="A4740" i="1"/>
  <c r="A4739" i="1"/>
  <c r="A4738" i="1"/>
  <c r="A4737" i="1"/>
  <c r="A4736" i="1"/>
  <c r="A4735" i="1"/>
  <c r="A4734" i="1"/>
  <c r="A4733" i="1"/>
  <c r="A4732" i="1"/>
  <c r="A4731" i="1"/>
  <c r="A4730" i="1"/>
  <c r="A4729" i="1"/>
  <c r="A4728" i="1"/>
  <c r="A4727" i="1"/>
  <c r="A4726" i="1"/>
  <c r="A4725" i="1"/>
  <c r="A4724" i="1"/>
  <c r="A4723" i="1"/>
  <c r="A4722" i="1"/>
  <c r="A4721" i="1"/>
  <c r="A4720" i="1"/>
  <c r="A4719" i="1"/>
  <c r="A4718" i="1"/>
  <c r="A4717" i="1"/>
  <c r="A4716" i="1"/>
  <c r="A4715" i="1"/>
  <c r="A4714" i="1"/>
  <c r="A4713" i="1"/>
  <c r="A4712" i="1"/>
  <c r="A4711" i="1"/>
  <c r="A4710" i="1"/>
  <c r="A4709" i="1"/>
  <c r="A4708" i="1"/>
  <c r="A4707" i="1"/>
  <c r="A4706" i="1"/>
  <c r="A4705" i="1"/>
  <c r="A4704" i="1"/>
  <c r="A4703" i="1"/>
  <c r="A4702" i="1"/>
  <c r="A4701" i="1"/>
  <c r="A4700" i="1"/>
  <c r="A4699" i="1"/>
  <c r="A4698" i="1"/>
  <c r="A4697" i="1"/>
  <c r="A4696" i="1"/>
  <c r="A4695" i="1"/>
  <c r="A4694" i="1"/>
  <c r="A4693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2" i="1"/>
  <c r="A4673" i="1"/>
  <c r="A4671" i="1"/>
  <c r="A4670" i="1"/>
  <c r="A4669" i="1"/>
  <c r="A4668" i="1"/>
  <c r="A4667" i="1"/>
  <c r="A4666" i="1"/>
  <c r="A4665" i="1"/>
  <c r="A4664" i="1"/>
  <c r="A4663" i="1"/>
  <c r="A4662" i="1"/>
  <c r="A4661" i="1"/>
  <c r="A4659" i="1"/>
  <c r="A4660" i="1"/>
  <c r="A4658" i="1"/>
  <c r="A4657" i="1"/>
  <c r="A4656" i="1"/>
  <c r="A4655" i="1"/>
  <c r="A4654" i="1"/>
  <c r="A4653" i="1"/>
  <c r="A4652" i="1"/>
  <c r="A4651" i="1"/>
  <c r="A4650" i="1"/>
  <c r="A4649" i="1"/>
  <c r="A4648" i="1"/>
  <c r="A4647" i="1"/>
  <c r="A4646" i="1"/>
  <c r="A4645" i="1"/>
  <c r="A4644" i="1"/>
  <c r="A4643" i="1"/>
  <c r="A4642" i="1"/>
  <c r="A4641" i="1"/>
  <c r="A4640" i="1"/>
  <c r="A4639" i="1"/>
  <c r="A4638" i="1"/>
  <c r="A4637" i="1"/>
  <c r="A4636" i="1"/>
  <c r="A4635" i="1"/>
  <c r="A4634" i="1"/>
  <c r="A4633" i="1"/>
  <c r="A4632" i="1"/>
  <c r="A4631" i="1"/>
  <c r="A4630" i="1"/>
  <c r="A4629" i="1"/>
  <c r="A4628" i="1"/>
  <c r="A4627" i="1"/>
  <c r="A4626" i="1"/>
  <c r="A4625" i="1"/>
  <c r="A4624" i="1"/>
  <c r="A4623" i="1"/>
  <c r="A4622" i="1"/>
  <c r="A4621" i="1"/>
  <c r="A4620" i="1"/>
  <c r="A4619" i="1"/>
  <c r="A4618" i="1"/>
  <c r="A4617" i="1"/>
  <c r="A4615" i="1"/>
  <c r="A4616" i="1"/>
  <c r="A4614" i="1"/>
  <c r="A4613" i="1"/>
  <c r="A4612" i="1"/>
  <c r="A4611" i="1"/>
  <c r="A4610" i="1"/>
  <c r="A4609" i="1"/>
  <c r="A4608" i="1"/>
  <c r="A4607" i="1"/>
  <c r="A4606" i="1"/>
  <c r="A4605" i="1"/>
  <c r="A4604" i="1"/>
  <c r="A4603" i="1"/>
  <c r="A4602" i="1"/>
  <c r="A4601" i="1"/>
  <c r="A4600" i="1"/>
  <c r="A4599" i="1"/>
  <c r="A4598" i="1"/>
  <c r="A4597" i="1"/>
  <c r="A4596" i="1"/>
  <c r="A4595" i="1"/>
  <c r="A4594" i="1"/>
  <c r="A4593" i="1"/>
  <c r="A4592" i="1"/>
  <c r="A4591" i="1"/>
  <c r="A4590" i="1"/>
  <c r="A4589" i="1"/>
  <c r="A4588" i="1"/>
  <c r="A4587" i="1"/>
  <c r="A4586" i="1"/>
  <c r="A4585" i="1"/>
  <c r="A4584" i="1"/>
  <c r="A4583" i="1"/>
  <c r="A4582" i="1"/>
  <c r="A4581" i="1"/>
  <c r="A4580" i="1"/>
  <c r="A4579" i="1"/>
  <c r="A4578" i="1"/>
  <c r="A4577" i="1"/>
  <c r="A4576" i="1"/>
  <c r="A4575" i="1"/>
  <c r="A4574" i="1"/>
  <c r="A4573" i="1"/>
  <c r="A4572" i="1"/>
  <c r="A4571" i="1"/>
  <c r="A4570" i="1"/>
  <c r="A4569" i="1"/>
  <c r="A4568" i="1"/>
  <c r="A4567" i="1"/>
  <c r="A4566" i="1"/>
  <c r="A4565" i="1"/>
  <c r="A4564" i="1"/>
  <c r="A4563" i="1"/>
  <c r="A4562" i="1"/>
  <c r="A4561" i="1"/>
  <c r="A4560" i="1"/>
  <c r="A4559" i="1"/>
  <c r="A4558" i="1"/>
  <c r="A4557" i="1"/>
  <c r="A4556" i="1"/>
  <c r="A4555" i="1"/>
  <c r="A4554" i="1"/>
  <c r="A4553" i="1"/>
  <c r="A4552" i="1"/>
  <c r="A4551" i="1"/>
  <c r="A4550" i="1"/>
  <c r="A4549" i="1"/>
  <c r="A4548" i="1"/>
  <c r="A4547" i="1"/>
  <c r="A4546" i="1"/>
  <c r="A4545" i="1"/>
  <c r="A4544" i="1"/>
  <c r="A4543" i="1"/>
  <c r="A4542" i="1"/>
  <c r="A4541" i="1"/>
  <c r="A4540" i="1"/>
  <c r="A4539" i="1"/>
  <c r="A4538" i="1"/>
  <c r="A4537" i="1"/>
  <c r="A4536" i="1"/>
  <c r="A4535" i="1"/>
  <c r="A4534" i="1"/>
  <c r="A4533" i="1"/>
  <c r="A4532" i="1"/>
  <c r="A4531" i="1"/>
  <c r="A4530" i="1"/>
  <c r="A4529" i="1"/>
  <c r="A4528" i="1"/>
  <c r="A4527" i="1"/>
  <c r="A4526" i="1"/>
  <c r="A4525" i="1"/>
  <c r="A4524" i="1"/>
  <c r="A4523" i="1"/>
  <c r="A4522" i="1"/>
  <c r="A4521" i="1"/>
  <c r="A4520" i="1"/>
  <c r="A4519" i="1"/>
  <c r="A4518" i="1"/>
  <c r="A4517" i="1"/>
  <c r="A4516" i="1"/>
  <c r="A4515" i="1"/>
  <c r="A4514" i="1"/>
  <c r="A4513" i="1"/>
  <c r="A4512" i="1"/>
  <c r="A4511" i="1"/>
  <c r="A4510" i="1"/>
  <c r="A4509" i="1"/>
  <c r="A4508" i="1"/>
  <c r="A4507" i="1"/>
  <c r="A4506" i="1"/>
  <c r="A4505" i="1"/>
  <c r="A4504" i="1"/>
  <c r="A4503" i="1"/>
  <c r="A4502" i="1"/>
  <c r="A4501" i="1"/>
  <c r="A4500" i="1"/>
  <c r="A4499" i="1"/>
  <c r="A4498" i="1"/>
  <c r="A4497" i="1"/>
  <c r="A4496" i="1"/>
  <c r="A4495" i="1"/>
  <c r="A4494" i="1"/>
  <c r="A4493" i="1"/>
  <c r="A4492" i="1"/>
  <c r="A4491" i="1"/>
  <c r="A4490" i="1"/>
  <c r="A4489" i="1"/>
  <c r="A4488" i="1"/>
  <c r="A4487" i="1"/>
  <c r="A4486" i="1"/>
  <c r="A4485" i="1"/>
  <c r="A4484" i="1"/>
  <c r="A4483" i="1"/>
  <c r="A4482" i="1"/>
  <c r="A4481" i="1"/>
  <c r="A4480" i="1"/>
  <c r="A4479" i="1"/>
  <c r="A4478" i="1"/>
  <c r="A4477" i="1"/>
  <c r="A4476" i="1"/>
  <c r="A4475" i="1"/>
  <c r="A4474" i="1"/>
  <c r="A4473" i="1"/>
  <c r="A4472" i="1"/>
  <c r="A4471" i="1"/>
  <c r="A4470" i="1"/>
  <c r="A4469" i="1"/>
  <c r="A4468" i="1"/>
  <c r="A4467" i="1"/>
  <c r="A4466" i="1"/>
  <c r="A4465" i="1"/>
  <c r="A4464" i="1"/>
  <c r="A4463" i="1"/>
  <c r="A4462" i="1"/>
  <c r="A4461" i="1"/>
  <c r="A4460" i="1"/>
  <c r="A4459" i="1"/>
  <c r="A4458" i="1"/>
  <c r="A4457" i="1"/>
  <c r="A4456" i="1"/>
  <c r="A4455" i="1"/>
  <c r="A4454" i="1"/>
  <c r="A4453" i="1"/>
  <c r="A4452" i="1"/>
  <c r="A4451" i="1"/>
  <c r="A4450" i="1"/>
  <c r="A4449" i="1"/>
  <c r="A4448" i="1"/>
  <c r="A4447" i="1"/>
  <c r="A4446" i="1"/>
  <c r="A4445" i="1"/>
  <c r="A4444" i="1"/>
  <c r="A4443" i="1"/>
  <c r="A4442" i="1"/>
  <c r="A4441" i="1"/>
  <c r="A4440" i="1"/>
  <c r="A4439" i="1"/>
  <c r="A4438" i="1"/>
  <c r="A4437" i="1"/>
  <c r="A4436" i="1"/>
  <c r="A4435" i="1"/>
  <c r="A4434" i="1"/>
  <c r="A4433" i="1"/>
  <c r="A4432" i="1"/>
  <c r="A4431" i="1"/>
  <c r="A4430" i="1"/>
  <c r="A4429" i="1"/>
  <c r="A4428" i="1"/>
  <c r="A4427" i="1"/>
  <c r="A4426" i="1"/>
  <c r="A4425" i="1"/>
  <c r="A4424" i="1"/>
  <c r="A4423" i="1"/>
  <c r="A4422" i="1"/>
  <c r="A4421" i="1"/>
  <c r="A4420" i="1"/>
  <c r="A4419" i="1"/>
  <c r="A4418" i="1"/>
  <c r="A4417" i="1"/>
  <c r="A4416" i="1"/>
  <c r="A4415" i="1"/>
  <c r="A4414" i="1"/>
  <c r="A4413" i="1"/>
  <c r="A4412" i="1"/>
  <c r="A4411" i="1"/>
  <c r="A4410" i="1"/>
  <c r="A4409" i="1"/>
  <c r="A4408" i="1"/>
  <c r="A4407" i="1"/>
  <c r="A4406" i="1"/>
  <c r="A4405" i="1"/>
  <c r="A4404" i="1"/>
  <c r="A4403" i="1"/>
  <c r="A4402" i="1"/>
  <c r="A4401" i="1"/>
  <c r="A4400" i="1"/>
  <c r="A4399" i="1"/>
  <c r="A4398" i="1"/>
  <c r="A4397" i="1"/>
  <c r="A4396" i="1"/>
  <c r="A4395" i="1"/>
  <c r="A4394" i="1"/>
  <c r="A4393" i="1"/>
  <c r="A4392" i="1"/>
  <c r="A4391" i="1"/>
  <c r="A4390" i="1"/>
  <c r="A4389" i="1"/>
  <c r="A4388" i="1"/>
  <c r="A4387" i="1"/>
  <c r="A4386" i="1"/>
  <c r="A4385" i="1"/>
  <c r="A4384" i="1"/>
  <c r="A4383" i="1"/>
  <c r="A4382" i="1"/>
  <c r="A4381" i="1"/>
  <c r="A4380" i="1"/>
  <c r="A4379" i="1"/>
  <c r="A4378" i="1"/>
  <c r="A4377" i="1"/>
  <c r="A4375" i="1"/>
  <c r="A4376" i="1"/>
  <c r="A4374" i="1"/>
  <c r="A4373" i="1"/>
  <c r="A4372" i="1"/>
  <c r="A4371" i="1"/>
  <c r="A4370" i="1"/>
  <c r="A4369" i="1"/>
  <c r="A4368" i="1"/>
  <c r="A4367" i="1"/>
  <c r="A4366" i="1"/>
  <c r="A4365" i="1"/>
  <c r="A4364" i="1"/>
  <c r="A4363" i="1"/>
  <c r="A4362" i="1"/>
  <c r="A4361" i="1"/>
  <c r="A4360" i="1"/>
  <c r="A4359" i="1"/>
  <c r="A4358" i="1"/>
  <c r="A4357" i="1"/>
  <c r="A4356" i="1"/>
  <c r="A4355" i="1"/>
  <c r="A4354" i="1"/>
  <c r="A4353" i="1"/>
  <c r="A4352" i="1"/>
  <c r="A4351" i="1"/>
  <c r="A4350" i="1"/>
  <c r="A4349" i="1"/>
  <c r="A4348" i="1"/>
  <c r="A4347" i="1"/>
  <c r="A4346" i="1"/>
  <c r="A4345" i="1"/>
  <c r="A4344" i="1"/>
  <c r="A4343" i="1"/>
  <c r="A4342" i="1"/>
  <c r="A4341" i="1"/>
  <c r="A4340" i="1"/>
  <c r="A4339" i="1"/>
  <c r="A4338" i="1"/>
  <c r="A4337" i="1"/>
  <c r="A4336" i="1"/>
  <c r="A4335" i="1"/>
  <c r="A4334" i="1"/>
  <c r="A4333" i="1"/>
  <c r="A4332" i="1"/>
  <c r="A4331" i="1"/>
  <c r="A4330" i="1"/>
  <c r="A4329" i="1"/>
  <c r="A4328" i="1"/>
  <c r="A4327" i="1"/>
  <c r="A4326" i="1"/>
  <c r="A4325" i="1"/>
  <c r="A4324" i="1"/>
  <c r="A4323" i="1"/>
  <c r="A4322" i="1"/>
  <c r="A4321" i="1"/>
  <c r="A4320" i="1"/>
  <c r="A4319" i="1"/>
  <c r="A4318" i="1"/>
  <c r="A4317" i="1"/>
  <c r="A4316" i="1"/>
  <c r="A4315" i="1"/>
  <c r="A4314" i="1"/>
  <c r="A4313" i="1"/>
  <c r="A4312" i="1"/>
  <c r="A4311" i="1"/>
  <c r="A4310" i="1"/>
  <c r="A4309" i="1"/>
  <c r="A4308" i="1"/>
  <c r="A4307" i="1"/>
  <c r="A4306" i="1"/>
  <c r="A4305" i="1"/>
  <c r="A4304" i="1"/>
  <c r="A4303" i="1"/>
  <c r="A4302" i="1"/>
  <c r="A4301" i="1"/>
  <c r="A4300" i="1"/>
  <c r="A4299" i="1"/>
  <c r="A4298" i="1"/>
  <c r="A4297" i="1"/>
  <c r="A4296" i="1"/>
  <c r="A4295" i="1"/>
  <c r="A4294" i="1"/>
  <c r="A4293" i="1"/>
  <c r="A4292" i="1"/>
  <c r="A4291" i="1"/>
  <c r="A4290" i="1"/>
  <c r="A4289" i="1"/>
  <c r="A4288" i="1"/>
  <c r="A4287" i="1"/>
  <c r="A4286" i="1"/>
  <c r="A4285" i="1"/>
  <c r="A4284" i="1"/>
  <c r="A4283" i="1"/>
  <c r="A4282" i="1"/>
  <c r="A4281" i="1"/>
  <c r="A4280" i="1"/>
  <c r="A4279" i="1"/>
  <c r="A4278" i="1"/>
  <c r="A4277" i="1"/>
  <c r="A4276" i="1"/>
  <c r="A4275" i="1"/>
  <c r="A4274" i="1"/>
  <c r="A4273" i="1"/>
  <c r="A4272" i="1"/>
  <c r="A4271" i="1"/>
  <c r="A4270" i="1"/>
  <c r="A4269" i="1"/>
  <c r="A4268" i="1"/>
  <c r="A4267" i="1"/>
  <c r="A4266" i="1"/>
  <c r="A4265" i="1"/>
  <c r="A4264" i="1"/>
  <c r="A4263" i="1"/>
  <c r="A4262" i="1"/>
  <c r="A4261" i="1"/>
  <c r="A4260" i="1"/>
  <c r="A4259" i="1"/>
  <c r="A4258" i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41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4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89" i="1"/>
  <c r="A4190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9" i="1"/>
  <c r="A4068" i="1"/>
  <c r="A4067" i="1"/>
  <c r="A4066" i="1"/>
  <c r="A4065" i="1"/>
  <c r="A4064" i="1"/>
  <c r="A4063" i="1"/>
  <c r="A4061" i="1"/>
  <c r="A4062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8" i="1"/>
  <c r="A3999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6" i="1"/>
  <c r="A3777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5" i="1"/>
  <c r="A3706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5" i="1"/>
  <c r="A3646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1" i="1"/>
  <c r="A3582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1" i="1"/>
  <c r="A3452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6" i="1"/>
  <c r="A3417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3" i="1"/>
  <c r="A3314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0" i="1"/>
  <c r="A3231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6" i="1"/>
  <c r="A3047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4" i="1"/>
  <c r="A2965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7" i="1"/>
  <c r="A2938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6" i="1"/>
  <c r="A2877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4" i="1"/>
  <c r="A2695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7" i="1"/>
  <c r="A2458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0" i="1"/>
  <c r="A2401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7" i="1"/>
  <c r="A2278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29" i="1"/>
  <c r="A1930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<sst xmlns="http://schemas.openxmlformats.org/spreadsheetml/2006/main" count="26" uniqueCount="11">
  <si>
    <t>%</t>
  </si>
  <si>
    <t>מספר הימים</t>
  </si>
  <si>
    <t>יום הערך</t>
  </si>
  <si>
    <t>סכום ההקצאה במליוני ₪</t>
  </si>
  <si>
    <t>הזכייה אחרי סליקה במליוני ₪</t>
  </si>
  <si>
    <t>סכום הזכייה במליוני ₪</t>
  </si>
  <si>
    <t>ריבית הסגירה באחוזים</t>
  </si>
  <si>
    <t>הריבית המשוקללת אחרי סליקה</t>
  </si>
  <si>
    <t>הריבית המשוקללת באחוזים</t>
  </si>
  <si>
    <t>אחוז ההקצאה</t>
  </si>
  <si>
    <t>סכום הביקוש במליוני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</si>
</sst>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3"/>
  <sheetViews>
    <sheetView rightToLeft="1" tabSelected="1" workbookViewId="0">
      <selection activeCell="D21" sqref="D21"/>
    </sheetView>
  </sheetViews>
  <sheetFormatPr defaultRowHeight="14.25" x14ac:dyDescent="0.2"/>
  <cols>
    <col min="1" max="1" width="13" customWidth="1"/>
  </cols>
  <sheetData>
    <row r="1" spans="1:10" s="2" customFormat="1" ht="60" x14ac:dyDescent="0.25">
      <c r="A1" s="2" t="s">
        <v>2</v>
      </c>
      <c r="B1" s="2" t="s">
        <v>1</v>
      </c>
      <c r="C1" s="3" t="s">
        <v>3</v>
      </c>
      <c r="D1" s="2" t="s">
        <v>10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t="str">
        <f>"03/09/2026"</f>
        <v>03/09/2026</v>
      </c>
      <c r="B2">
        <v>3</v>
      </c>
      <c r="C2">
        <v>88000</v>
      </c>
      <c r="D2">
        <v>180665</v>
      </c>
      <c r="E2">
        <v>88000</v>
      </c>
      <c r="F2">
        <v>88000</v>
      </c>
      <c r="G2" s="1">
        <v>3.2500000000000001E-2</v>
      </c>
      <c r="H2" s="1">
        <v>3.2500000000000001E-2</v>
      </c>
      <c r="I2" s="1">
        <v>3.2500000000000001E-2</v>
      </c>
      <c r="J2" s="1">
        <v>0.42049999999999998</v>
      </c>
    </row>
    <row r="3" spans="1:10" x14ac:dyDescent="0.2">
      <c r="A3" t="str">
        <f>"02/09/2026"</f>
        <v>02/09/2026</v>
      </c>
      <c r="B3">
        <v>1</v>
      </c>
      <c r="C3">
        <v>86000</v>
      </c>
      <c r="D3">
        <v>80134</v>
      </c>
      <c r="E3">
        <v>80134</v>
      </c>
      <c r="F3">
        <v>80134</v>
      </c>
      <c r="G3" s="1">
        <v>3.5000000000000003E-2</v>
      </c>
      <c r="H3" s="1">
        <v>3.5000000000000003E-2</v>
      </c>
      <c r="I3" s="1">
        <v>3.5000000000000003E-2</v>
      </c>
      <c r="J3" s="1">
        <v>1</v>
      </c>
    </row>
    <row r="4" spans="1:10" x14ac:dyDescent="0.2">
      <c r="A4" t="str">
        <f>"01/09/2026"</f>
        <v>01/09/2026</v>
      </c>
      <c r="B4">
        <v>1</v>
      </c>
      <c r="C4">
        <v>84000</v>
      </c>
      <c r="D4">
        <v>114428</v>
      </c>
      <c r="E4">
        <v>84000</v>
      </c>
      <c r="F4">
        <v>84000</v>
      </c>
      <c r="G4" s="1">
        <v>3.5000000000000003E-2</v>
      </c>
      <c r="H4" s="1">
        <v>3.5000000000000003E-2</v>
      </c>
      <c r="I4" s="1">
        <v>3.5000000000000003E-2</v>
      </c>
      <c r="J4" s="1">
        <v>0.58879999999999999</v>
      </c>
    </row>
    <row r="5" spans="1:10" x14ac:dyDescent="0.2">
      <c r="A5" t="str">
        <f>"31/08/2026"</f>
        <v>31/08/2026</v>
      </c>
      <c r="B5">
        <v>1</v>
      </c>
      <c r="C5">
        <v>69000</v>
      </c>
      <c r="D5">
        <v>124935</v>
      </c>
      <c r="E5">
        <v>69000</v>
      </c>
      <c r="F5">
        <v>69000</v>
      </c>
      <c r="G5" s="1">
        <v>3.5000000000000003E-2</v>
      </c>
      <c r="H5" s="1">
        <v>3.5000000000000003E-2</v>
      </c>
      <c r="I5" s="1">
        <v>3.5000000000000003E-2</v>
      </c>
      <c r="J5" s="1">
        <v>0.48820000000000002</v>
      </c>
    </row>
    <row r="6" spans="1:10" x14ac:dyDescent="0.2">
      <c r="A6" t="str">
        <f>"30/08/2026"</f>
        <v>30/08/2026</v>
      </c>
      <c r="B6">
        <v>1</v>
      </c>
      <c r="C6">
        <v>64000</v>
      </c>
      <c r="D6">
        <v>119129</v>
      </c>
      <c r="E6">
        <v>64000</v>
      </c>
      <c r="F6">
        <v>64000</v>
      </c>
      <c r="G6" s="1">
        <v>3.5000000000000003E-2</v>
      </c>
      <c r="H6" s="1">
        <v>3.5000000000000003E-2</v>
      </c>
      <c r="I6" s="1">
        <v>3.5000000000000003E-2</v>
      </c>
      <c r="J6" s="1">
        <v>0.45419999999999999</v>
      </c>
    </row>
    <row r="7" spans="1:10" x14ac:dyDescent="0.2">
      <c r="A7" t="str">
        <f>"27/08/2026"</f>
        <v>27/08/2026</v>
      </c>
      <c r="B7">
        <v>3</v>
      </c>
      <c r="C7">
        <v>64000</v>
      </c>
      <c r="D7">
        <v>134341</v>
      </c>
      <c r="E7">
        <v>64000</v>
      </c>
      <c r="F7">
        <v>64000</v>
      </c>
      <c r="G7" s="1">
        <v>3.5000000000000003E-2</v>
      </c>
      <c r="H7" s="1">
        <v>3.5000000000000003E-2</v>
      </c>
      <c r="I7" s="1">
        <v>3.5000000000000003E-2</v>
      </c>
      <c r="J7" s="1">
        <v>0.40139999999999998</v>
      </c>
    </row>
    <row r="8" spans="1:10" x14ac:dyDescent="0.2">
      <c r="A8" t="str">
        <f>"26/08/2026"</f>
        <v>26/08/2026</v>
      </c>
      <c r="B8">
        <v>1</v>
      </c>
      <c r="C8">
        <v>57000</v>
      </c>
      <c r="D8">
        <v>139530</v>
      </c>
      <c r="E8">
        <v>57000</v>
      </c>
      <c r="F8">
        <v>57000</v>
      </c>
      <c r="G8" s="1">
        <v>3.5000000000000003E-2</v>
      </c>
      <c r="H8" s="1">
        <v>3.5000000000000003E-2</v>
      </c>
      <c r="I8" s="1">
        <v>3.5000000000000003E-2</v>
      </c>
      <c r="J8" s="1">
        <v>0.30990000000000001</v>
      </c>
    </row>
    <row r="9" spans="1:10" x14ac:dyDescent="0.2">
      <c r="A9" t="str">
        <f>"25/08/2026"</f>
        <v>25/08/2026</v>
      </c>
      <c r="B9">
        <v>1</v>
      </c>
      <c r="C9">
        <v>57000</v>
      </c>
      <c r="D9">
        <v>144540</v>
      </c>
      <c r="E9">
        <v>57000</v>
      </c>
      <c r="F9">
        <v>57000</v>
      </c>
      <c r="G9" s="1">
        <v>3.5000000000000003E-2</v>
      </c>
      <c r="H9" s="1">
        <v>3.5000000000000003E-2</v>
      </c>
      <c r="I9" s="1">
        <v>3.5000000000000003E-2</v>
      </c>
      <c r="J9" s="1">
        <v>0.2994</v>
      </c>
    </row>
    <row r="10" spans="1:10" x14ac:dyDescent="0.2">
      <c r="A10" t="str">
        <f>"24/08/2026"</f>
        <v>24/08/2026</v>
      </c>
      <c r="B10">
        <v>1</v>
      </c>
      <c r="C10">
        <v>60000</v>
      </c>
      <c r="D10">
        <v>161638</v>
      </c>
      <c r="E10">
        <v>60000</v>
      </c>
      <c r="F10">
        <v>60000</v>
      </c>
      <c r="G10" s="1">
        <v>3.5000000000000003E-2</v>
      </c>
      <c r="H10" s="1">
        <v>3.5000000000000003E-2</v>
      </c>
      <c r="I10" s="1">
        <v>3.5000000000000003E-2</v>
      </c>
      <c r="J10" s="1">
        <v>0.28770000000000001</v>
      </c>
    </row>
    <row r="11" spans="1:10" x14ac:dyDescent="0.2">
      <c r="A11" t="str">
        <f>"23/08/2026"</f>
        <v>23/08/2026</v>
      </c>
      <c r="B11">
        <v>1</v>
      </c>
      <c r="C11">
        <v>64000</v>
      </c>
      <c r="D11">
        <v>169200</v>
      </c>
      <c r="E11">
        <v>64000</v>
      </c>
      <c r="F11">
        <v>64000</v>
      </c>
      <c r="G11" s="1">
        <v>3.5000000000000003E-2</v>
      </c>
      <c r="H11" s="1">
        <v>3.5000000000000003E-2</v>
      </c>
      <c r="I11" s="1">
        <v>3.5000000000000003E-2</v>
      </c>
      <c r="J11" s="1">
        <v>0.29199999999999998</v>
      </c>
    </row>
    <row r="12" spans="1:10" x14ac:dyDescent="0.2">
      <c r="A12" t="str">
        <f>"20/08/2026"</f>
        <v>20/08/2026</v>
      </c>
      <c r="B12">
        <v>3</v>
      </c>
      <c r="C12">
        <v>65000</v>
      </c>
      <c r="D12">
        <v>157843</v>
      </c>
      <c r="E12">
        <v>65000</v>
      </c>
      <c r="F12">
        <v>65000</v>
      </c>
      <c r="G12" s="1">
        <v>3.5000000000000003E-2</v>
      </c>
      <c r="H12" s="1">
        <v>3.5000000000000003E-2</v>
      </c>
      <c r="I12" s="1">
        <v>3.5000000000000003E-2</v>
      </c>
      <c r="J12" s="1">
        <v>0.33360000000000001</v>
      </c>
    </row>
    <row r="13" spans="1:10" x14ac:dyDescent="0.2">
      <c r="A13" t="str">
        <f>"19/08/2026"</f>
        <v>19/08/2026</v>
      </c>
      <c r="B13">
        <v>1</v>
      </c>
      <c r="C13">
        <v>71000</v>
      </c>
      <c r="D13">
        <v>197323</v>
      </c>
      <c r="E13">
        <v>71000</v>
      </c>
      <c r="F13">
        <v>71000</v>
      </c>
      <c r="G13" s="1">
        <v>3.5000000000000003E-2</v>
      </c>
      <c r="H13" s="1">
        <v>3.5000000000000003E-2</v>
      </c>
      <c r="I13" s="1">
        <v>3.5000000000000003E-2</v>
      </c>
      <c r="J13" s="1">
        <v>0.30009999999999998</v>
      </c>
    </row>
    <row r="14" spans="1:10" x14ac:dyDescent="0.2">
      <c r="A14" t="str">
        <f>"18/08/2026"</f>
        <v>18/08/2026</v>
      </c>
      <c r="B14">
        <v>1</v>
      </c>
      <c r="C14">
        <v>71000</v>
      </c>
      <c r="D14">
        <v>190573</v>
      </c>
      <c r="E14">
        <v>71000</v>
      </c>
      <c r="F14">
        <v>71000</v>
      </c>
      <c r="G14" s="1">
        <v>3.5000000000000003E-2</v>
      </c>
      <c r="H14" s="1">
        <v>3.5000000000000003E-2</v>
      </c>
      <c r="I14" s="1">
        <v>3.5000000000000003E-2</v>
      </c>
      <c r="J14" s="1">
        <v>0.31140000000000001</v>
      </c>
    </row>
    <row r="15" spans="1:10" x14ac:dyDescent="0.2">
      <c r="A15" t="str">
        <f>"17/08/2026"</f>
        <v>17/08/2026</v>
      </c>
      <c r="B15">
        <v>1</v>
      </c>
      <c r="C15">
        <v>77000</v>
      </c>
      <c r="D15">
        <v>186525</v>
      </c>
      <c r="E15">
        <v>77000</v>
      </c>
      <c r="F15">
        <v>77000</v>
      </c>
      <c r="G15" s="1">
        <v>3.5000000000000003E-2</v>
      </c>
      <c r="H15" s="1">
        <v>3.5000000000000003E-2</v>
      </c>
      <c r="I15" s="1">
        <v>3.5000000000000003E-2</v>
      </c>
      <c r="J15" s="1">
        <v>0.36009999999999998</v>
      </c>
    </row>
    <row r="16" spans="1:10" x14ac:dyDescent="0.2">
      <c r="A16" t="str">
        <f>"16/08/2026"</f>
        <v>16/08/2026</v>
      </c>
      <c r="B16">
        <v>1</v>
      </c>
      <c r="C16">
        <v>82000</v>
      </c>
      <c r="D16">
        <v>202624</v>
      </c>
      <c r="E16">
        <v>82000</v>
      </c>
      <c r="F16">
        <v>82000</v>
      </c>
      <c r="G16" s="1">
        <v>3.5000000000000003E-2</v>
      </c>
      <c r="H16" s="1">
        <v>3.5000000000000003E-2</v>
      </c>
      <c r="I16" s="1">
        <v>3.5000000000000003E-2</v>
      </c>
      <c r="J16" s="1">
        <v>0.35520000000000002</v>
      </c>
    </row>
    <row r="17" spans="1:10" x14ac:dyDescent="0.2">
      <c r="A17" t="str">
        <f>"13/08/2026"</f>
        <v>13/08/2026</v>
      </c>
      <c r="B17">
        <v>3</v>
      </c>
      <c r="C17">
        <v>84000</v>
      </c>
      <c r="D17">
        <v>223811</v>
      </c>
      <c r="E17">
        <v>84000</v>
      </c>
      <c r="F17">
        <v>84000</v>
      </c>
      <c r="G17" s="1">
        <v>3.5000000000000003E-2</v>
      </c>
      <c r="H17" s="1">
        <v>3.5000000000000003E-2</v>
      </c>
      <c r="I17" s="1">
        <v>3.5000000000000003E-2</v>
      </c>
      <c r="J17" s="1">
        <v>0.30630000000000002</v>
      </c>
    </row>
    <row r="18" spans="1:10" x14ac:dyDescent="0.2">
      <c r="A18" t="str">
        <f>"12/08/2026"</f>
        <v>12/08/2026</v>
      </c>
      <c r="B18">
        <v>1</v>
      </c>
      <c r="C18">
        <v>85000</v>
      </c>
      <c r="D18">
        <v>250935</v>
      </c>
      <c r="E18">
        <v>85000</v>
      </c>
      <c r="F18">
        <v>85000</v>
      </c>
      <c r="G18" s="1">
        <v>3.5000000000000003E-2</v>
      </c>
      <c r="H18" s="1">
        <v>3.5000000000000003E-2</v>
      </c>
      <c r="I18" s="1">
        <v>3.5000000000000003E-2</v>
      </c>
      <c r="J18" s="1">
        <v>0.25669999999999998</v>
      </c>
    </row>
    <row r="19" spans="1:10" x14ac:dyDescent="0.2">
      <c r="A19" t="str">
        <f>"11/08/2026"</f>
        <v>11/08/2026</v>
      </c>
      <c r="B19">
        <v>1</v>
      </c>
      <c r="C19">
        <v>84000</v>
      </c>
      <c r="D19">
        <v>255278</v>
      </c>
      <c r="E19">
        <v>84000</v>
      </c>
      <c r="F19">
        <v>84000</v>
      </c>
      <c r="G19" s="1">
        <v>3.5000000000000003E-2</v>
      </c>
      <c r="H19" s="1">
        <v>3.5000000000000003E-2</v>
      </c>
      <c r="I19" s="1">
        <v>3.5000000000000003E-2</v>
      </c>
      <c r="J19" s="1">
        <v>0.25530000000000003</v>
      </c>
    </row>
    <row r="20" spans="1:10" x14ac:dyDescent="0.2">
      <c r="A20" t="str">
        <f>"10/08/2026"</f>
        <v>10/08/2026</v>
      </c>
      <c r="B20">
        <v>1</v>
      </c>
      <c r="C20">
        <v>84000</v>
      </c>
      <c r="D20">
        <v>245023</v>
      </c>
      <c r="E20">
        <v>84000</v>
      </c>
      <c r="F20">
        <v>84000</v>
      </c>
      <c r="G20" s="1">
        <v>3.5000000000000003E-2</v>
      </c>
      <c r="H20" s="1">
        <v>3.5000000000000003E-2</v>
      </c>
      <c r="I20" s="1">
        <v>3.5000000000000003E-2</v>
      </c>
      <c r="J20" s="1">
        <v>0.2712</v>
      </c>
    </row>
    <row r="21" spans="1:10" x14ac:dyDescent="0.2">
      <c r="A21" t="str">
        <f>"09/08/2026"</f>
        <v>09/08/2026</v>
      </c>
      <c r="B21">
        <v>1</v>
      </c>
      <c r="C21">
        <v>84000</v>
      </c>
      <c r="D21">
        <v>227944</v>
      </c>
      <c r="E21">
        <v>84000</v>
      </c>
      <c r="F21">
        <v>84000</v>
      </c>
      <c r="G21" s="1">
        <v>3.5000000000000003E-2</v>
      </c>
      <c r="H21" s="1">
        <v>3.5000000000000003E-2</v>
      </c>
      <c r="I21" s="1">
        <v>3.5000000000000003E-2</v>
      </c>
      <c r="J21" s="1">
        <v>0.28999999999999998</v>
      </c>
    </row>
    <row r="22" spans="1:10" x14ac:dyDescent="0.2">
      <c r="A22" t="str">
        <f>"06/08/2026"</f>
        <v>06/08/2026</v>
      </c>
      <c r="B22">
        <v>3</v>
      </c>
      <c r="C22">
        <v>80000</v>
      </c>
      <c r="D22">
        <v>221429</v>
      </c>
      <c r="E22">
        <v>80000</v>
      </c>
      <c r="F22">
        <v>80000</v>
      </c>
      <c r="G22" s="1">
        <v>3.5000000000000003E-2</v>
      </c>
      <c r="H22" s="1">
        <v>3.5000000000000003E-2</v>
      </c>
      <c r="I22" s="1">
        <v>3.5000000000000003E-2</v>
      </c>
      <c r="J22" s="1">
        <v>0.30170000000000002</v>
      </c>
    </row>
    <row r="23" spans="1:10" x14ac:dyDescent="0.2">
      <c r="A23" t="str">
        <f>"05/08/2026"</f>
        <v>05/08/2026</v>
      </c>
      <c r="B23">
        <v>1</v>
      </c>
      <c r="C23">
        <v>90000</v>
      </c>
      <c r="D23">
        <v>275699</v>
      </c>
      <c r="E23">
        <v>90000</v>
      </c>
      <c r="F23">
        <v>90000</v>
      </c>
      <c r="G23" s="1">
        <v>3.5000000000000003E-2</v>
      </c>
      <c r="H23" s="1">
        <v>3.5000000000000003E-2</v>
      </c>
      <c r="I23" s="1">
        <v>3.5000000000000003E-2</v>
      </c>
      <c r="J23" s="1">
        <v>0.27879999999999999</v>
      </c>
    </row>
    <row r="24" spans="1:10" x14ac:dyDescent="0.2">
      <c r="A24" t="str">
        <f>"04/08/2026"</f>
        <v>04/08/2026</v>
      </c>
      <c r="B24">
        <v>1</v>
      </c>
      <c r="C24">
        <v>89000</v>
      </c>
      <c r="D24">
        <v>258726</v>
      </c>
      <c r="E24">
        <v>89000</v>
      </c>
      <c r="F24">
        <v>89000</v>
      </c>
      <c r="G24" s="1">
        <v>3.5000000000000003E-2</v>
      </c>
      <c r="H24" s="1">
        <v>3.5000000000000003E-2</v>
      </c>
      <c r="I24" s="1">
        <v>3.5000000000000003E-2</v>
      </c>
      <c r="J24" s="1">
        <v>0.28460000000000002</v>
      </c>
    </row>
    <row r="25" spans="1:10" x14ac:dyDescent="0.2">
      <c r="A25" t="str">
        <f>"03/08/2026"</f>
        <v>03/08/2026</v>
      </c>
      <c r="B25">
        <v>1</v>
      </c>
      <c r="C25">
        <v>91000</v>
      </c>
      <c r="D25">
        <v>249103</v>
      </c>
      <c r="E25">
        <v>91000</v>
      </c>
      <c r="F25">
        <v>91000</v>
      </c>
      <c r="G25" s="1">
        <v>3.5000000000000003E-2</v>
      </c>
      <c r="H25" s="1">
        <v>3.5000000000000003E-2</v>
      </c>
      <c r="I25" s="1">
        <v>3.5000000000000003E-2</v>
      </c>
      <c r="J25" s="1">
        <v>0.3004</v>
      </c>
    </row>
    <row r="26" spans="1:10" x14ac:dyDescent="0.2">
      <c r="A26" t="str">
        <f>"02/08/2026"</f>
        <v>02/08/2026</v>
      </c>
      <c r="B26">
        <v>1</v>
      </c>
      <c r="C26">
        <v>93000</v>
      </c>
      <c r="D26">
        <v>252514</v>
      </c>
      <c r="E26">
        <v>93000</v>
      </c>
      <c r="F26">
        <v>93000</v>
      </c>
      <c r="G26" s="1">
        <v>3.5000000000000003E-2</v>
      </c>
      <c r="H26" s="1">
        <v>3.5000000000000003E-2</v>
      </c>
      <c r="I26" s="1">
        <v>3.5000000000000003E-2</v>
      </c>
      <c r="J26" s="1">
        <v>0.30009999999999998</v>
      </c>
    </row>
    <row r="27" spans="1:10" x14ac:dyDescent="0.2">
      <c r="A27" t="str">
        <f>"31/07/2026"</f>
        <v>31/07/2026</v>
      </c>
      <c r="B27">
        <v>2</v>
      </c>
      <c r="C27">
        <v>17000</v>
      </c>
      <c r="D27">
        <v>24200</v>
      </c>
      <c r="E27">
        <v>17000</v>
      </c>
      <c r="F27">
        <v>17000</v>
      </c>
      <c r="G27" s="1">
        <v>3.5000000000000003E-2</v>
      </c>
      <c r="H27" s="1">
        <v>3.5000000000000003E-2</v>
      </c>
      <c r="I27" s="1">
        <v>3.5000000000000003E-2</v>
      </c>
      <c r="J27" s="1">
        <v>0.70250000000000001</v>
      </c>
    </row>
    <row r="28" spans="1:10" x14ac:dyDescent="0.2">
      <c r="A28" t="str">
        <f>"30/07/2026"</f>
        <v>30/07/2026</v>
      </c>
      <c r="B28">
        <v>3</v>
      </c>
      <c r="C28">
        <v>66000</v>
      </c>
      <c r="D28">
        <v>210035</v>
      </c>
      <c r="E28">
        <v>66000</v>
      </c>
      <c r="F28">
        <v>66000</v>
      </c>
      <c r="G28" s="1">
        <v>3.5000000000000003E-2</v>
      </c>
      <c r="H28" s="1">
        <v>3.5000000000000003E-2</v>
      </c>
      <c r="I28" s="1">
        <v>3.5000000000000003E-2</v>
      </c>
      <c r="J28" s="1">
        <v>0.2429</v>
      </c>
    </row>
    <row r="29" spans="1:10" x14ac:dyDescent="0.2">
      <c r="A29" t="str">
        <f>"29/07/2026"</f>
        <v>29/07/2026</v>
      </c>
      <c r="B29">
        <v>1</v>
      </c>
      <c r="C29">
        <v>63000</v>
      </c>
      <c r="D29">
        <v>206266</v>
      </c>
      <c r="E29">
        <v>63000</v>
      </c>
      <c r="F29">
        <v>63000</v>
      </c>
      <c r="G29" s="1">
        <v>3.5000000000000003E-2</v>
      </c>
      <c r="H29" s="1">
        <v>3.49E-2</v>
      </c>
      <c r="I29" s="1">
        <v>3.49E-2</v>
      </c>
      <c r="J29" s="1">
        <v>0.17460000000000001</v>
      </c>
    </row>
    <row r="30" spans="1:10" x14ac:dyDescent="0.2">
      <c r="A30" t="str">
        <f>"28/07/2026"</f>
        <v>28/07/2026</v>
      </c>
      <c r="B30">
        <v>1</v>
      </c>
      <c r="C30">
        <v>67000</v>
      </c>
      <c r="D30">
        <v>211380</v>
      </c>
      <c r="E30">
        <v>67000</v>
      </c>
      <c r="F30">
        <v>67000</v>
      </c>
      <c r="G30" s="1">
        <v>3.5000000000000003E-2</v>
      </c>
      <c r="H30" s="1">
        <v>3.5000000000000003E-2</v>
      </c>
      <c r="I30" s="1">
        <v>3.5000000000000003E-2</v>
      </c>
      <c r="J30" s="1">
        <v>0.2036</v>
      </c>
    </row>
    <row r="31" spans="1:10" x14ac:dyDescent="0.2">
      <c r="A31" t="str">
        <f>"27/07/2026"</f>
        <v>27/07/2026</v>
      </c>
      <c r="B31">
        <v>1</v>
      </c>
      <c r="C31">
        <v>62000</v>
      </c>
      <c r="D31">
        <v>189005</v>
      </c>
      <c r="E31">
        <v>62000</v>
      </c>
      <c r="F31">
        <v>62000</v>
      </c>
      <c r="G31" s="1">
        <v>3.5000000000000003E-2</v>
      </c>
      <c r="H31" s="1">
        <v>3.5000000000000003E-2</v>
      </c>
      <c r="I31" s="1">
        <v>3.5000000000000003E-2</v>
      </c>
      <c r="J31" s="1">
        <v>0.20369999999999999</v>
      </c>
    </row>
    <row r="32" spans="1:10" x14ac:dyDescent="0.2">
      <c r="A32" t="str">
        <f>"26/07/2026"</f>
        <v>26/07/2026</v>
      </c>
      <c r="B32">
        <v>1</v>
      </c>
      <c r="C32">
        <v>62000</v>
      </c>
      <c r="D32">
        <v>163499</v>
      </c>
      <c r="E32">
        <v>62000</v>
      </c>
      <c r="F32">
        <v>62000</v>
      </c>
      <c r="G32" s="1">
        <v>3.5000000000000003E-2</v>
      </c>
      <c r="H32" s="1">
        <v>3.49E-2</v>
      </c>
      <c r="I32" s="1">
        <v>3.49E-2</v>
      </c>
      <c r="J32" s="1">
        <v>0.19800000000000001</v>
      </c>
    </row>
    <row r="33" spans="1:10" x14ac:dyDescent="0.2">
      <c r="A33" t="str">
        <f>"22/07/2026"</f>
        <v>22/07/2026</v>
      </c>
      <c r="B33">
        <v>4</v>
      </c>
      <c r="C33">
        <v>62000</v>
      </c>
      <c r="D33">
        <v>182054</v>
      </c>
      <c r="E33">
        <v>62000</v>
      </c>
      <c r="F33">
        <v>62000</v>
      </c>
      <c r="G33" s="1">
        <v>3.5000000000000003E-2</v>
      </c>
      <c r="H33" s="1">
        <v>3.5000000000000003E-2</v>
      </c>
      <c r="I33" s="1">
        <v>3.5000000000000003E-2</v>
      </c>
      <c r="J33" s="1">
        <v>0.24990000000000001</v>
      </c>
    </row>
    <row r="34" spans="1:10" x14ac:dyDescent="0.2">
      <c r="A34" t="str">
        <f>"21/07/2026"</f>
        <v>21/07/2026</v>
      </c>
      <c r="B34">
        <v>1</v>
      </c>
      <c r="C34">
        <v>64000</v>
      </c>
      <c r="D34">
        <v>183060</v>
      </c>
      <c r="E34">
        <v>64000</v>
      </c>
      <c r="F34">
        <v>64000</v>
      </c>
      <c r="G34" s="1">
        <v>3.5000000000000003E-2</v>
      </c>
      <c r="H34" s="1">
        <v>3.5000000000000003E-2</v>
      </c>
      <c r="I34" s="1">
        <v>3.5000000000000003E-2</v>
      </c>
      <c r="J34" s="1">
        <v>0.2291</v>
      </c>
    </row>
    <row r="35" spans="1:10" x14ac:dyDescent="0.2">
      <c r="A35" t="str">
        <f>"20/07/2026"</f>
        <v>20/07/2026</v>
      </c>
      <c r="B35">
        <v>1</v>
      </c>
      <c r="C35">
        <v>67000</v>
      </c>
      <c r="D35">
        <v>210356</v>
      </c>
      <c r="E35">
        <v>67000</v>
      </c>
      <c r="F35">
        <v>67000</v>
      </c>
      <c r="G35" s="1">
        <v>3.5000000000000003E-2</v>
      </c>
      <c r="H35" s="1">
        <v>3.5000000000000003E-2</v>
      </c>
      <c r="I35" s="1">
        <v>3.5000000000000003E-2</v>
      </c>
      <c r="J35" s="1">
        <v>0.22589999999999999</v>
      </c>
    </row>
    <row r="36" spans="1:10" x14ac:dyDescent="0.2">
      <c r="A36" t="str">
        <f>"19/07/2026"</f>
        <v>19/07/2026</v>
      </c>
      <c r="B36">
        <v>1</v>
      </c>
      <c r="C36">
        <v>74000</v>
      </c>
      <c r="D36">
        <v>215479</v>
      </c>
      <c r="E36">
        <v>74000</v>
      </c>
      <c r="F36">
        <v>74000</v>
      </c>
      <c r="G36" s="1">
        <v>3.5000000000000003E-2</v>
      </c>
      <c r="H36" s="1">
        <v>3.5000000000000003E-2</v>
      </c>
      <c r="I36" s="1">
        <v>3.5000000000000003E-2</v>
      </c>
      <c r="J36" s="1">
        <v>0.25309999999999999</v>
      </c>
    </row>
    <row r="37" spans="1:10" x14ac:dyDescent="0.2">
      <c r="A37" t="str">
        <f>"16/07/2026"</f>
        <v>16/07/2026</v>
      </c>
      <c r="B37">
        <v>3</v>
      </c>
      <c r="C37">
        <v>78000</v>
      </c>
      <c r="D37">
        <v>207899</v>
      </c>
      <c r="E37">
        <v>78000</v>
      </c>
      <c r="F37">
        <v>78000</v>
      </c>
      <c r="G37" s="1">
        <v>3.5000000000000003E-2</v>
      </c>
      <c r="H37" s="1">
        <v>3.5000000000000003E-2</v>
      </c>
      <c r="I37" s="1">
        <v>3.5000000000000003E-2</v>
      </c>
      <c r="J37" s="1">
        <v>0.30620000000000003</v>
      </c>
    </row>
    <row r="38" spans="1:10" x14ac:dyDescent="0.2">
      <c r="A38" t="str">
        <f>"15/07/2026"</f>
        <v>15/07/2026</v>
      </c>
      <c r="B38">
        <v>1</v>
      </c>
      <c r="C38">
        <v>88000</v>
      </c>
      <c r="D38">
        <v>232621</v>
      </c>
      <c r="E38">
        <v>88000</v>
      </c>
      <c r="F38">
        <v>88000</v>
      </c>
      <c r="G38" s="1">
        <v>3.5000000000000003E-2</v>
      </c>
      <c r="H38" s="1">
        <v>3.5000000000000003E-2</v>
      </c>
      <c r="I38" s="1">
        <v>3.5000000000000003E-2</v>
      </c>
      <c r="J38" s="1">
        <v>0.30259999999999998</v>
      </c>
    </row>
    <row r="39" spans="1:10" x14ac:dyDescent="0.2">
      <c r="A39" t="str">
        <f>"14/07/2026"</f>
        <v>14/07/2026</v>
      </c>
      <c r="B39">
        <v>1</v>
      </c>
      <c r="C39">
        <v>87000</v>
      </c>
      <c r="D39">
        <v>236861</v>
      </c>
      <c r="E39">
        <v>87000</v>
      </c>
      <c r="F39">
        <v>87000</v>
      </c>
      <c r="G39" s="1">
        <v>3.5000000000000003E-2</v>
      </c>
      <c r="H39" s="1">
        <v>3.5000000000000003E-2</v>
      </c>
      <c r="I39" s="1">
        <v>3.5000000000000003E-2</v>
      </c>
      <c r="J39" s="1">
        <v>0.29239999999999999</v>
      </c>
    </row>
    <row r="40" spans="1:10" x14ac:dyDescent="0.2">
      <c r="A40" t="str">
        <f>"13/07/2026"</f>
        <v>13/07/2026</v>
      </c>
      <c r="B40">
        <v>1</v>
      </c>
      <c r="C40">
        <v>90000</v>
      </c>
      <c r="D40">
        <v>247933</v>
      </c>
      <c r="E40">
        <v>90000</v>
      </c>
      <c r="F40">
        <v>90000</v>
      </c>
      <c r="G40" s="1">
        <v>3.5000000000000003E-2</v>
      </c>
      <c r="H40" s="1">
        <v>3.5000000000000003E-2</v>
      </c>
      <c r="I40" s="1">
        <v>3.5000000000000003E-2</v>
      </c>
      <c r="J40" s="1">
        <v>0.2954</v>
      </c>
    </row>
    <row r="41" spans="1:10" x14ac:dyDescent="0.2">
      <c r="A41" t="str">
        <f>"12/07/2026"</f>
        <v>12/07/2026</v>
      </c>
      <c r="B41">
        <v>1</v>
      </c>
      <c r="C41">
        <v>92000</v>
      </c>
      <c r="D41">
        <v>241263</v>
      </c>
      <c r="E41">
        <v>92000</v>
      </c>
      <c r="F41">
        <v>92000</v>
      </c>
      <c r="G41" s="1">
        <v>3.5000000000000003E-2</v>
      </c>
      <c r="H41" s="1">
        <v>3.5000000000000003E-2</v>
      </c>
      <c r="I41" s="1">
        <v>3.5000000000000003E-2</v>
      </c>
      <c r="J41" s="1">
        <v>0.33119999999999999</v>
      </c>
    </row>
    <row r="42" spans="1:10" x14ac:dyDescent="0.2">
      <c r="A42" t="str">
        <f>"09/07/2026"</f>
        <v>09/07/2026</v>
      </c>
      <c r="B42">
        <v>3</v>
      </c>
      <c r="C42">
        <v>88000</v>
      </c>
      <c r="D42">
        <v>184113</v>
      </c>
      <c r="E42">
        <v>88000</v>
      </c>
      <c r="F42">
        <v>88000</v>
      </c>
      <c r="G42" s="1">
        <v>3.5000000000000003E-2</v>
      </c>
      <c r="H42" s="1">
        <v>3.5000000000000003E-2</v>
      </c>
      <c r="I42" s="1">
        <v>3.5000000000000003E-2</v>
      </c>
      <c r="J42" s="1">
        <v>0.39760000000000001</v>
      </c>
    </row>
    <row r="43" spans="1:10" x14ac:dyDescent="0.2">
      <c r="A43" t="str">
        <f>"08/07/2026"</f>
        <v>08/07/2026</v>
      </c>
      <c r="B43">
        <v>1</v>
      </c>
      <c r="C43">
        <v>87000</v>
      </c>
      <c r="D43">
        <v>82714</v>
      </c>
      <c r="E43">
        <v>82714</v>
      </c>
      <c r="F43">
        <v>82714</v>
      </c>
      <c r="G43" s="1">
        <v>3.7499999999999999E-2</v>
      </c>
      <c r="H43" s="1">
        <v>3.7499999999999999E-2</v>
      </c>
      <c r="I43" s="1">
        <v>3.7499999999999999E-2</v>
      </c>
      <c r="J43" s="1">
        <v>1</v>
      </c>
    </row>
    <row r="44" spans="1:10" x14ac:dyDescent="0.2">
      <c r="A44" t="str">
        <f>"07/07/2026"</f>
        <v>07/07/2026</v>
      </c>
      <c r="B44">
        <v>1</v>
      </c>
      <c r="C44">
        <v>84000</v>
      </c>
      <c r="D44">
        <v>190630</v>
      </c>
      <c r="E44">
        <v>84000</v>
      </c>
      <c r="F44">
        <v>84000</v>
      </c>
      <c r="G44" s="1">
        <v>3.7499999999999999E-2</v>
      </c>
      <c r="H44" s="1">
        <v>3.7499999999999999E-2</v>
      </c>
      <c r="I44" s="1">
        <v>3.7499999999999999E-2</v>
      </c>
      <c r="J44" s="1">
        <v>0.31890000000000002</v>
      </c>
    </row>
    <row r="45" spans="1:10" x14ac:dyDescent="0.2">
      <c r="A45" t="str">
        <f>"06/07/2026"</f>
        <v>06/07/2026</v>
      </c>
      <c r="B45">
        <v>1</v>
      </c>
      <c r="C45">
        <v>84000</v>
      </c>
      <c r="D45">
        <v>234645</v>
      </c>
      <c r="E45">
        <v>84000</v>
      </c>
      <c r="F45">
        <v>84000</v>
      </c>
      <c r="G45" s="1">
        <v>3.7499999999999999E-2</v>
      </c>
      <c r="H45" s="1">
        <v>3.7499999999999999E-2</v>
      </c>
      <c r="I45" s="1">
        <v>3.7499999999999999E-2</v>
      </c>
      <c r="J45" s="1">
        <v>0.28060000000000002</v>
      </c>
    </row>
    <row r="46" spans="1:10" x14ac:dyDescent="0.2">
      <c r="A46" t="str">
        <f>"05/07/2026"</f>
        <v>05/07/2026</v>
      </c>
      <c r="B46">
        <v>1</v>
      </c>
      <c r="C46">
        <v>84000</v>
      </c>
      <c r="D46">
        <v>247006</v>
      </c>
      <c r="E46">
        <v>84000</v>
      </c>
      <c r="F46">
        <v>84000</v>
      </c>
      <c r="G46" s="1">
        <v>3.7499999999999999E-2</v>
      </c>
      <c r="H46" s="1">
        <v>3.7499999999999999E-2</v>
      </c>
      <c r="I46" s="1">
        <v>3.7499999999999999E-2</v>
      </c>
      <c r="J46" s="1">
        <v>0.25790000000000002</v>
      </c>
    </row>
    <row r="47" spans="1:10" x14ac:dyDescent="0.2">
      <c r="A47" t="str">
        <f>"02/07/2026"</f>
        <v>02/07/2026</v>
      </c>
      <c r="B47">
        <v>3</v>
      </c>
      <c r="C47">
        <v>79000</v>
      </c>
      <c r="D47">
        <v>236772</v>
      </c>
      <c r="E47">
        <v>79000</v>
      </c>
      <c r="F47">
        <v>79000</v>
      </c>
      <c r="G47" s="1">
        <v>3.7499999999999999E-2</v>
      </c>
      <c r="H47" s="1">
        <v>3.7499999999999999E-2</v>
      </c>
      <c r="I47" s="1">
        <v>3.7499999999999999E-2</v>
      </c>
      <c r="J47" s="1">
        <v>0.27379999999999999</v>
      </c>
    </row>
    <row r="48" spans="1:10" x14ac:dyDescent="0.2">
      <c r="A48" t="str">
        <f>"01/07/2026"</f>
        <v>01/07/2026</v>
      </c>
      <c r="B48">
        <v>1</v>
      </c>
      <c r="C48">
        <v>81000</v>
      </c>
      <c r="D48">
        <v>265996</v>
      </c>
      <c r="E48">
        <v>81000</v>
      </c>
      <c r="F48">
        <v>81000</v>
      </c>
      <c r="G48" s="1">
        <v>3.7499999999999999E-2</v>
      </c>
      <c r="H48" s="1">
        <v>3.7499999999999999E-2</v>
      </c>
      <c r="I48" s="1">
        <v>3.7499999999999999E-2</v>
      </c>
      <c r="J48" s="1">
        <v>0.25319999999999998</v>
      </c>
    </row>
    <row r="49" spans="1:10" x14ac:dyDescent="0.2">
      <c r="A49" t="str">
        <f>"30/06/2026"</f>
        <v>30/06/2026</v>
      </c>
      <c r="B49">
        <v>1</v>
      </c>
      <c r="C49">
        <v>64000</v>
      </c>
      <c r="D49">
        <v>200852</v>
      </c>
      <c r="E49">
        <v>64000</v>
      </c>
      <c r="F49">
        <v>64000</v>
      </c>
      <c r="G49" s="1">
        <v>3.7499999999999999E-2</v>
      </c>
      <c r="H49" s="1">
        <v>3.7499999999999999E-2</v>
      </c>
      <c r="I49" s="1">
        <v>3.7499999999999999E-2</v>
      </c>
      <c r="J49" s="1">
        <v>0.26379999999999998</v>
      </c>
    </row>
    <row r="50" spans="1:10" x14ac:dyDescent="0.2">
      <c r="A50" t="str">
        <f>"29/06/2026"</f>
        <v>29/06/2026</v>
      </c>
      <c r="B50">
        <v>1</v>
      </c>
      <c r="C50">
        <v>61000</v>
      </c>
      <c r="D50">
        <v>172758</v>
      </c>
      <c r="E50">
        <v>61000</v>
      </c>
      <c r="F50">
        <v>61000</v>
      </c>
      <c r="G50" s="1">
        <v>3.7499999999999999E-2</v>
      </c>
      <c r="H50" s="1">
        <v>3.7499999999999999E-2</v>
      </c>
      <c r="I50" s="1">
        <v>3.7499999999999999E-2</v>
      </c>
      <c r="J50" s="1">
        <v>0.2681</v>
      </c>
    </row>
    <row r="51" spans="1:10" x14ac:dyDescent="0.2">
      <c r="A51" t="str">
        <f>"28/06/2026"</f>
        <v>28/06/2026</v>
      </c>
      <c r="B51">
        <v>1</v>
      </c>
      <c r="C51">
        <v>61000</v>
      </c>
      <c r="D51">
        <v>164968</v>
      </c>
      <c r="E51">
        <v>61000</v>
      </c>
      <c r="F51">
        <v>61000</v>
      </c>
      <c r="G51" s="1">
        <v>3.7499999999999999E-2</v>
      </c>
      <c r="H51" s="1">
        <v>3.7499999999999999E-2</v>
      </c>
      <c r="I51" s="1">
        <v>3.7499999999999999E-2</v>
      </c>
      <c r="J51" s="1">
        <v>0.28050000000000003</v>
      </c>
    </row>
    <row r="52" spans="1:10" x14ac:dyDescent="0.2">
      <c r="A52" t="str">
        <f>"25/06/2026"</f>
        <v>25/06/2026</v>
      </c>
      <c r="B52">
        <v>3</v>
      </c>
      <c r="C52">
        <v>55000</v>
      </c>
      <c r="D52">
        <v>150197</v>
      </c>
      <c r="E52">
        <v>55000</v>
      </c>
      <c r="F52">
        <v>55000</v>
      </c>
      <c r="G52" s="1">
        <v>3.7499999999999999E-2</v>
      </c>
      <c r="H52" s="1">
        <v>3.7499999999999999E-2</v>
      </c>
      <c r="I52" s="1">
        <v>3.7499999999999999E-2</v>
      </c>
      <c r="J52" s="1">
        <v>0.28560000000000002</v>
      </c>
    </row>
    <row r="53" spans="1:10" x14ac:dyDescent="0.2">
      <c r="A53" t="str">
        <f>"24/06/2026"</f>
        <v>24/06/2026</v>
      </c>
      <c r="B53">
        <v>1</v>
      </c>
      <c r="C53">
        <v>56000</v>
      </c>
      <c r="D53">
        <v>141717</v>
      </c>
      <c r="E53">
        <v>56000</v>
      </c>
      <c r="F53">
        <v>56000</v>
      </c>
      <c r="G53" s="1">
        <v>3.7499999999999999E-2</v>
      </c>
      <c r="H53" s="1">
        <v>3.7499999999999999E-2</v>
      </c>
      <c r="I53" s="1">
        <v>3.7499999999999999E-2</v>
      </c>
      <c r="J53" s="1">
        <v>0.28210000000000002</v>
      </c>
    </row>
    <row r="54" spans="1:10" x14ac:dyDescent="0.2">
      <c r="A54" t="str">
        <f>"23/06/2026"</f>
        <v>23/06/2026</v>
      </c>
      <c r="B54">
        <v>1</v>
      </c>
      <c r="C54">
        <v>64000</v>
      </c>
      <c r="D54">
        <v>187687</v>
      </c>
      <c r="E54">
        <v>64000</v>
      </c>
      <c r="F54">
        <v>64000</v>
      </c>
      <c r="G54" s="1">
        <v>3.7499999999999999E-2</v>
      </c>
      <c r="H54" s="1">
        <v>3.7499999999999999E-2</v>
      </c>
      <c r="I54" s="1">
        <v>3.7499999999999999E-2</v>
      </c>
      <c r="J54" s="1">
        <v>0.26860000000000001</v>
      </c>
    </row>
    <row r="55" spans="1:10" x14ac:dyDescent="0.2">
      <c r="A55" t="str">
        <f>"22/06/2026"</f>
        <v>22/06/2026</v>
      </c>
      <c r="B55">
        <v>1</v>
      </c>
      <c r="C55">
        <v>68000</v>
      </c>
      <c r="D55">
        <v>203057</v>
      </c>
      <c r="E55">
        <v>68000</v>
      </c>
      <c r="F55">
        <v>68000</v>
      </c>
      <c r="G55" s="1">
        <v>3.7499999999999999E-2</v>
      </c>
      <c r="H55" s="1">
        <v>3.7499999999999999E-2</v>
      </c>
      <c r="I55" s="1">
        <v>3.7499999999999999E-2</v>
      </c>
      <c r="J55" s="1">
        <v>0.25509999999999999</v>
      </c>
    </row>
    <row r="56" spans="1:10" x14ac:dyDescent="0.2">
      <c r="A56" t="str">
        <f>"21/06/2026"</f>
        <v>21/06/2026</v>
      </c>
      <c r="B56">
        <v>1</v>
      </c>
      <c r="C56">
        <v>67000</v>
      </c>
      <c r="D56">
        <v>207243</v>
      </c>
      <c r="E56">
        <v>67000</v>
      </c>
      <c r="F56">
        <v>67000</v>
      </c>
      <c r="G56" s="1">
        <v>3.7499999999999999E-2</v>
      </c>
      <c r="H56" s="1">
        <v>3.7499999999999999E-2</v>
      </c>
      <c r="I56" s="1">
        <v>3.7499999999999999E-2</v>
      </c>
      <c r="J56" s="1">
        <v>0.2727</v>
      </c>
    </row>
    <row r="57" spans="1:10" x14ac:dyDescent="0.2">
      <c r="A57" t="str">
        <f>"18/06/2026"</f>
        <v>18/06/2026</v>
      </c>
      <c r="B57">
        <v>3</v>
      </c>
      <c r="C57">
        <v>73000</v>
      </c>
      <c r="D57">
        <v>167177</v>
      </c>
      <c r="E57">
        <v>73000</v>
      </c>
      <c r="F57">
        <v>73000</v>
      </c>
      <c r="G57" s="1">
        <v>3.7499999999999999E-2</v>
      </c>
      <c r="H57" s="1">
        <v>3.7499999999999999E-2</v>
      </c>
      <c r="I57" s="1">
        <v>3.7499999999999999E-2</v>
      </c>
      <c r="J57" s="1">
        <v>0.36770000000000003</v>
      </c>
    </row>
    <row r="58" spans="1:10" x14ac:dyDescent="0.2">
      <c r="A58" t="str">
        <f>"17/06/2026"</f>
        <v>17/06/2026</v>
      </c>
      <c r="B58">
        <v>1</v>
      </c>
      <c r="C58">
        <v>75000</v>
      </c>
      <c r="D58">
        <v>195080</v>
      </c>
      <c r="E58">
        <v>75000</v>
      </c>
      <c r="F58">
        <v>75000</v>
      </c>
      <c r="G58" s="1">
        <v>3.7499999999999999E-2</v>
      </c>
      <c r="H58" s="1">
        <v>3.7499999999999999E-2</v>
      </c>
      <c r="I58" s="1">
        <v>3.7499999999999999E-2</v>
      </c>
      <c r="J58" s="1">
        <v>0.32290000000000002</v>
      </c>
    </row>
    <row r="59" spans="1:10" x14ac:dyDescent="0.2">
      <c r="A59" t="str">
        <f>"16/06/2026"</f>
        <v>16/06/2026</v>
      </c>
      <c r="B59">
        <v>1</v>
      </c>
      <c r="C59">
        <v>79000</v>
      </c>
      <c r="D59">
        <v>208178</v>
      </c>
      <c r="E59">
        <v>79000</v>
      </c>
      <c r="F59">
        <v>79000</v>
      </c>
      <c r="G59" s="1">
        <v>3.7499999999999999E-2</v>
      </c>
      <c r="H59" s="1">
        <v>3.7499999999999999E-2</v>
      </c>
      <c r="I59" s="1">
        <v>3.7499999999999999E-2</v>
      </c>
      <c r="J59" s="1">
        <v>0.31419999999999998</v>
      </c>
    </row>
    <row r="60" spans="1:10" x14ac:dyDescent="0.2">
      <c r="A60" t="str">
        <f>"15/06/2026"</f>
        <v>15/06/2026</v>
      </c>
      <c r="B60">
        <v>1</v>
      </c>
      <c r="C60">
        <v>89000</v>
      </c>
      <c r="D60">
        <v>250042</v>
      </c>
      <c r="E60">
        <v>89000</v>
      </c>
      <c r="F60">
        <v>89000</v>
      </c>
      <c r="G60" s="1">
        <v>3.7499999999999999E-2</v>
      </c>
      <c r="H60" s="1">
        <v>3.7499999999999999E-2</v>
      </c>
      <c r="I60" s="1">
        <v>3.7499999999999999E-2</v>
      </c>
      <c r="J60" s="1">
        <v>0.2994</v>
      </c>
    </row>
    <row r="61" spans="1:10" x14ac:dyDescent="0.2">
      <c r="A61" t="str">
        <f>"14/06/2026"</f>
        <v>14/06/2026</v>
      </c>
      <c r="B61">
        <v>1</v>
      </c>
      <c r="C61">
        <v>89000</v>
      </c>
      <c r="D61">
        <v>228827</v>
      </c>
      <c r="E61">
        <v>89000</v>
      </c>
      <c r="F61">
        <v>89000</v>
      </c>
      <c r="G61" s="1">
        <v>3.7499999999999999E-2</v>
      </c>
      <c r="H61" s="1">
        <v>3.7499999999999999E-2</v>
      </c>
      <c r="I61" s="1">
        <v>3.7499999999999999E-2</v>
      </c>
      <c r="J61" s="1">
        <v>0.33760000000000001</v>
      </c>
    </row>
    <row r="62" spans="1:10" x14ac:dyDescent="0.2">
      <c r="A62" t="str">
        <f>"11/06/2026"</f>
        <v>11/06/2026</v>
      </c>
      <c r="B62">
        <v>3</v>
      </c>
      <c r="C62">
        <v>89000</v>
      </c>
      <c r="D62">
        <v>177993</v>
      </c>
      <c r="E62">
        <v>89000</v>
      </c>
      <c r="F62">
        <v>89000</v>
      </c>
      <c r="G62" s="1">
        <v>3.7499999999999999E-2</v>
      </c>
      <c r="H62" s="1">
        <v>3.7499999999999999E-2</v>
      </c>
      <c r="I62" s="1">
        <v>3.7499999999999999E-2</v>
      </c>
      <c r="J62" s="1">
        <v>0.45069999999999999</v>
      </c>
    </row>
    <row r="63" spans="1:10" x14ac:dyDescent="0.2">
      <c r="A63" t="str">
        <f>"10/06/2026"</f>
        <v>10/06/2026</v>
      </c>
      <c r="B63">
        <v>1</v>
      </c>
      <c r="C63">
        <v>89000</v>
      </c>
      <c r="D63">
        <v>169550</v>
      </c>
      <c r="E63">
        <v>89000</v>
      </c>
      <c r="F63">
        <v>89000</v>
      </c>
      <c r="G63" s="1">
        <v>3.7499999999999999E-2</v>
      </c>
      <c r="H63" s="1">
        <v>3.7499999999999999E-2</v>
      </c>
      <c r="I63" s="1">
        <v>3.7499999999999999E-2</v>
      </c>
      <c r="J63" s="1">
        <v>0.4733</v>
      </c>
    </row>
    <row r="64" spans="1:10" x14ac:dyDescent="0.2">
      <c r="A64" t="str">
        <f>"09/06/2026"</f>
        <v>09/06/2026</v>
      </c>
      <c r="B64">
        <v>1</v>
      </c>
      <c r="C64">
        <v>90000</v>
      </c>
      <c r="D64">
        <v>167682</v>
      </c>
      <c r="E64">
        <v>90000</v>
      </c>
      <c r="F64">
        <v>90000</v>
      </c>
      <c r="G64" s="1">
        <v>3.7499999999999999E-2</v>
      </c>
      <c r="H64" s="1">
        <v>3.7499999999999999E-2</v>
      </c>
      <c r="I64" s="1">
        <v>3.7499999999999999E-2</v>
      </c>
      <c r="J64" s="1">
        <v>0.47989999999999999</v>
      </c>
    </row>
    <row r="65" spans="1:10" x14ac:dyDescent="0.2">
      <c r="A65" t="str">
        <f>"08/06/2026"</f>
        <v>08/06/2026</v>
      </c>
      <c r="B65">
        <v>1</v>
      </c>
      <c r="C65">
        <v>92000</v>
      </c>
      <c r="D65">
        <v>174734</v>
      </c>
      <c r="E65">
        <v>92000</v>
      </c>
      <c r="F65">
        <v>92000</v>
      </c>
      <c r="G65" s="1">
        <v>3.7499999999999999E-2</v>
      </c>
      <c r="H65" s="1">
        <v>3.7499999999999999E-2</v>
      </c>
      <c r="I65" s="1">
        <v>3.7499999999999999E-2</v>
      </c>
      <c r="J65" s="1">
        <v>0.47660000000000002</v>
      </c>
    </row>
    <row r="66" spans="1:10" x14ac:dyDescent="0.2">
      <c r="A66" t="str">
        <f>"07/06/2026"</f>
        <v>07/06/2026</v>
      </c>
      <c r="B66">
        <v>1</v>
      </c>
      <c r="C66">
        <v>91000</v>
      </c>
      <c r="D66">
        <v>185297</v>
      </c>
      <c r="E66">
        <v>91000</v>
      </c>
      <c r="F66">
        <v>91000</v>
      </c>
      <c r="G66" s="1">
        <v>3.7499999999999999E-2</v>
      </c>
      <c r="H66" s="1">
        <v>3.7499999999999999E-2</v>
      </c>
      <c r="I66" s="1">
        <v>3.7499999999999999E-2</v>
      </c>
      <c r="J66" s="1">
        <v>0.44280000000000003</v>
      </c>
    </row>
    <row r="67" spans="1:10" x14ac:dyDescent="0.2">
      <c r="A67" t="str">
        <f>"04/06/2026"</f>
        <v>04/06/2026</v>
      </c>
      <c r="B67">
        <v>3</v>
      </c>
      <c r="C67">
        <v>91000</v>
      </c>
      <c r="D67">
        <v>206887</v>
      </c>
      <c r="E67">
        <v>91000</v>
      </c>
      <c r="F67">
        <v>91000</v>
      </c>
      <c r="G67" s="1">
        <v>3.7499999999999999E-2</v>
      </c>
      <c r="H67" s="1">
        <v>3.7499999999999999E-2</v>
      </c>
      <c r="I67" s="1">
        <v>3.7499999999999999E-2</v>
      </c>
      <c r="J67" s="1">
        <v>0.3997</v>
      </c>
    </row>
    <row r="68" spans="1:10" x14ac:dyDescent="0.2">
      <c r="A68" t="str">
        <f>"03/06/2026"</f>
        <v>03/06/2026</v>
      </c>
      <c r="B68">
        <v>1</v>
      </c>
      <c r="C68">
        <v>100000</v>
      </c>
      <c r="D68">
        <v>268244</v>
      </c>
      <c r="E68">
        <v>100000</v>
      </c>
      <c r="F68">
        <v>100000</v>
      </c>
      <c r="G68" s="1">
        <v>3.7499999999999999E-2</v>
      </c>
      <c r="H68" s="1">
        <v>3.7499999999999999E-2</v>
      </c>
      <c r="I68" s="1">
        <v>3.7499999999999999E-2</v>
      </c>
      <c r="J68" s="1">
        <v>0.33110000000000001</v>
      </c>
    </row>
    <row r="69" spans="1:10" x14ac:dyDescent="0.2">
      <c r="A69" t="str">
        <f>"02/06/2026"</f>
        <v>02/06/2026</v>
      </c>
      <c r="B69">
        <v>1</v>
      </c>
      <c r="C69">
        <v>98000</v>
      </c>
      <c r="D69">
        <v>299834</v>
      </c>
      <c r="E69">
        <v>98000</v>
      </c>
      <c r="F69">
        <v>98000</v>
      </c>
      <c r="G69" s="1">
        <v>3.7499999999999999E-2</v>
      </c>
      <c r="H69" s="1">
        <v>3.7499999999999999E-2</v>
      </c>
      <c r="I69" s="1">
        <v>3.7499999999999999E-2</v>
      </c>
      <c r="J69" s="1">
        <v>0.28079999999999999</v>
      </c>
    </row>
    <row r="70" spans="1:10" x14ac:dyDescent="0.2">
      <c r="A70" t="str">
        <f>"01/06/2026"</f>
        <v>01/06/2026</v>
      </c>
      <c r="B70">
        <v>1</v>
      </c>
      <c r="C70">
        <v>94000</v>
      </c>
      <c r="D70">
        <v>295429</v>
      </c>
      <c r="E70">
        <v>94000</v>
      </c>
      <c r="F70">
        <v>94000</v>
      </c>
      <c r="G70" s="1">
        <v>3.7499999999999999E-2</v>
      </c>
      <c r="H70" s="1">
        <v>3.7499999999999999E-2</v>
      </c>
      <c r="I70" s="1">
        <v>3.7499999999999999E-2</v>
      </c>
      <c r="J70" s="1">
        <v>0.27779999999999999</v>
      </c>
    </row>
    <row r="71" spans="1:10" x14ac:dyDescent="0.2">
      <c r="A71" t="str">
        <f>"31/05/2026"</f>
        <v>31/05/2026</v>
      </c>
      <c r="B71">
        <v>1</v>
      </c>
      <c r="C71">
        <v>81000</v>
      </c>
      <c r="D71">
        <v>228754</v>
      </c>
      <c r="E71">
        <v>81000</v>
      </c>
      <c r="F71">
        <v>81000</v>
      </c>
      <c r="G71" s="1">
        <v>3.7499999999999999E-2</v>
      </c>
      <c r="H71" s="1">
        <v>3.7499999999999999E-2</v>
      </c>
      <c r="I71" s="1">
        <v>3.7499999999999999E-2</v>
      </c>
      <c r="J71" s="1">
        <v>0.311</v>
      </c>
    </row>
    <row r="72" spans="1:10" x14ac:dyDescent="0.2">
      <c r="A72" t="str">
        <f>"28/05/2026"</f>
        <v>28/05/2026</v>
      </c>
      <c r="B72">
        <v>3</v>
      </c>
      <c r="C72">
        <v>56000</v>
      </c>
      <c r="D72">
        <v>121549</v>
      </c>
      <c r="E72">
        <v>56000</v>
      </c>
      <c r="F72">
        <v>56000</v>
      </c>
      <c r="G72" s="1">
        <v>3.7499999999999999E-2</v>
      </c>
      <c r="H72" s="1">
        <v>3.7499999999999999E-2</v>
      </c>
      <c r="I72" s="1">
        <v>3.7499999999999999E-2</v>
      </c>
      <c r="J72" s="1">
        <v>0.36909999999999998</v>
      </c>
    </row>
    <row r="73" spans="1:10" x14ac:dyDescent="0.2">
      <c r="A73" t="str">
        <f>"27/05/2026"</f>
        <v>27/05/2026</v>
      </c>
      <c r="B73">
        <v>1</v>
      </c>
      <c r="C73">
        <v>57000</v>
      </c>
      <c r="D73">
        <v>51628</v>
      </c>
      <c r="E73">
        <v>51628</v>
      </c>
      <c r="F73">
        <v>51628</v>
      </c>
      <c r="G73" s="1">
        <v>0.04</v>
      </c>
      <c r="H73" s="1">
        <v>0.04</v>
      </c>
      <c r="I73" s="1">
        <v>0.04</v>
      </c>
      <c r="J73" s="1">
        <v>1</v>
      </c>
    </row>
    <row r="74" spans="1:10" x14ac:dyDescent="0.2">
      <c r="A74" t="str">
        <f>"26/05/2026"</f>
        <v>26/05/2026</v>
      </c>
      <c r="B74">
        <v>1</v>
      </c>
      <c r="C74">
        <v>62000</v>
      </c>
      <c r="D74">
        <v>93373</v>
      </c>
      <c r="E74">
        <v>62000</v>
      </c>
      <c r="F74">
        <v>62000</v>
      </c>
      <c r="G74" s="1">
        <v>0.04</v>
      </c>
      <c r="H74" s="1">
        <v>0.04</v>
      </c>
      <c r="I74" s="1">
        <v>0.04</v>
      </c>
      <c r="J74" s="1">
        <v>0.58720000000000006</v>
      </c>
    </row>
    <row r="75" spans="1:10" x14ac:dyDescent="0.2">
      <c r="A75" t="str">
        <f>"25/05/2026"</f>
        <v>25/05/2026</v>
      </c>
      <c r="B75">
        <v>1</v>
      </c>
      <c r="C75">
        <v>64000</v>
      </c>
      <c r="D75">
        <v>110663</v>
      </c>
      <c r="E75">
        <v>64000</v>
      </c>
      <c r="F75">
        <v>64000</v>
      </c>
      <c r="G75" s="1">
        <v>0.04</v>
      </c>
      <c r="H75" s="1">
        <v>0.04</v>
      </c>
      <c r="I75" s="1">
        <v>0.04</v>
      </c>
      <c r="J75" s="1">
        <v>0.43640000000000001</v>
      </c>
    </row>
    <row r="76" spans="1:10" x14ac:dyDescent="0.2">
      <c r="A76" t="str">
        <f>"24/05/2026"</f>
        <v>24/05/2026</v>
      </c>
      <c r="B76">
        <v>1</v>
      </c>
      <c r="C76">
        <v>60000</v>
      </c>
      <c r="D76">
        <v>126466</v>
      </c>
      <c r="E76">
        <v>60000</v>
      </c>
      <c r="F76">
        <v>60000</v>
      </c>
      <c r="G76" s="1">
        <v>0.04</v>
      </c>
      <c r="H76" s="1">
        <v>3.9899999999999998E-2</v>
      </c>
      <c r="I76" s="1">
        <v>3.9899999999999998E-2</v>
      </c>
      <c r="J76" s="1">
        <v>0.30759999999999998</v>
      </c>
    </row>
    <row r="77" spans="1:10" x14ac:dyDescent="0.2">
      <c r="A77" t="str">
        <f>"20/05/2026"</f>
        <v>20/05/2026</v>
      </c>
      <c r="B77">
        <v>4</v>
      </c>
      <c r="C77">
        <v>62000</v>
      </c>
      <c r="D77">
        <v>156041</v>
      </c>
      <c r="E77">
        <v>62000</v>
      </c>
      <c r="F77">
        <v>62000</v>
      </c>
      <c r="G77" s="1">
        <v>0.04</v>
      </c>
      <c r="H77" s="1">
        <v>0.04</v>
      </c>
      <c r="I77" s="1">
        <v>0.04</v>
      </c>
      <c r="J77" s="1">
        <v>0.26829999999999998</v>
      </c>
    </row>
    <row r="78" spans="1:10" x14ac:dyDescent="0.2">
      <c r="A78" t="str">
        <f>"19/05/2026"</f>
        <v>19/05/2026</v>
      </c>
      <c r="B78">
        <v>1</v>
      </c>
      <c r="C78">
        <v>68000</v>
      </c>
      <c r="D78">
        <v>151831</v>
      </c>
      <c r="E78">
        <v>68000</v>
      </c>
      <c r="F78">
        <v>68000</v>
      </c>
      <c r="G78" s="1">
        <v>0.04</v>
      </c>
      <c r="H78" s="1">
        <v>3.9899999999999998E-2</v>
      </c>
      <c r="I78" s="1">
        <v>3.9899999999999998E-2</v>
      </c>
      <c r="J78" s="1">
        <v>0.2787</v>
      </c>
    </row>
    <row r="79" spans="1:10" x14ac:dyDescent="0.2">
      <c r="A79" t="str">
        <f>"18/05/2026"</f>
        <v>18/05/2026</v>
      </c>
      <c r="B79">
        <v>1</v>
      </c>
      <c r="C79">
        <v>71000</v>
      </c>
      <c r="D79">
        <v>197918</v>
      </c>
      <c r="E79">
        <v>71000</v>
      </c>
      <c r="F79">
        <v>71000</v>
      </c>
      <c r="G79" s="1">
        <v>0.04</v>
      </c>
      <c r="H79" s="1">
        <v>0.04</v>
      </c>
      <c r="I79" s="1">
        <v>0.04</v>
      </c>
      <c r="J79" s="1">
        <v>0.29389999999999999</v>
      </c>
    </row>
    <row r="80" spans="1:10" x14ac:dyDescent="0.2">
      <c r="A80" t="str">
        <f>"17/05/2026"</f>
        <v>17/05/2026</v>
      </c>
      <c r="B80">
        <v>1</v>
      </c>
      <c r="C80">
        <v>75000</v>
      </c>
      <c r="D80">
        <v>199092</v>
      </c>
      <c r="E80">
        <v>75000</v>
      </c>
      <c r="F80">
        <v>75000</v>
      </c>
      <c r="G80" s="1">
        <v>0.04</v>
      </c>
      <c r="H80" s="1">
        <v>0.04</v>
      </c>
      <c r="I80" s="1">
        <v>0.04</v>
      </c>
      <c r="J80" s="1">
        <v>0.31390000000000001</v>
      </c>
    </row>
    <row r="81" spans="1:10" x14ac:dyDescent="0.2">
      <c r="A81" t="str">
        <f>"14/05/2026"</f>
        <v>14/05/2026</v>
      </c>
      <c r="B81">
        <v>3</v>
      </c>
      <c r="C81">
        <v>79000</v>
      </c>
      <c r="D81">
        <v>194458</v>
      </c>
      <c r="E81">
        <v>79000</v>
      </c>
      <c r="F81">
        <v>79000</v>
      </c>
      <c r="G81" s="1">
        <v>0.04</v>
      </c>
      <c r="H81" s="1">
        <v>0.04</v>
      </c>
      <c r="I81" s="1">
        <v>0.04</v>
      </c>
      <c r="J81" s="1">
        <v>0.34899999999999998</v>
      </c>
    </row>
    <row r="82" spans="1:10" x14ac:dyDescent="0.2">
      <c r="A82" t="str">
        <f>"13/05/2026"</f>
        <v>13/05/2026</v>
      </c>
      <c r="B82">
        <v>1</v>
      </c>
      <c r="C82">
        <v>74000</v>
      </c>
      <c r="D82">
        <v>198543</v>
      </c>
      <c r="E82">
        <v>74000</v>
      </c>
      <c r="F82">
        <v>74000</v>
      </c>
      <c r="G82" s="1">
        <v>0.04</v>
      </c>
      <c r="H82" s="1">
        <v>0.04</v>
      </c>
      <c r="I82" s="1">
        <v>0.04</v>
      </c>
      <c r="J82" s="1">
        <v>0.30780000000000002</v>
      </c>
    </row>
    <row r="83" spans="1:10" x14ac:dyDescent="0.2">
      <c r="A83" t="str">
        <f>"12/05/2026"</f>
        <v>12/05/2026</v>
      </c>
      <c r="B83">
        <v>1</v>
      </c>
      <c r="C83">
        <v>73000</v>
      </c>
      <c r="D83">
        <v>201782</v>
      </c>
      <c r="E83">
        <v>73000</v>
      </c>
      <c r="F83">
        <v>73000</v>
      </c>
      <c r="G83" s="1">
        <v>0.04</v>
      </c>
      <c r="H83" s="1">
        <v>0.04</v>
      </c>
      <c r="I83" s="1">
        <v>0.04</v>
      </c>
      <c r="J83" s="1">
        <v>0.29559999999999997</v>
      </c>
    </row>
    <row r="84" spans="1:10" x14ac:dyDescent="0.2">
      <c r="A84" t="str">
        <f>"11/05/2026"</f>
        <v>11/05/2026</v>
      </c>
      <c r="B84">
        <v>1</v>
      </c>
      <c r="C84">
        <v>74000</v>
      </c>
      <c r="D84">
        <v>209108</v>
      </c>
      <c r="E84">
        <v>74000</v>
      </c>
      <c r="F84">
        <v>74000</v>
      </c>
      <c r="G84" s="1">
        <v>0.04</v>
      </c>
      <c r="H84" s="1">
        <v>0.04</v>
      </c>
      <c r="I84" s="1">
        <v>0.04</v>
      </c>
      <c r="J84" s="1">
        <v>0.30549999999999999</v>
      </c>
    </row>
    <row r="85" spans="1:10" x14ac:dyDescent="0.2">
      <c r="A85" t="str">
        <f>"10/05/2026"</f>
        <v>10/05/2026</v>
      </c>
      <c r="B85">
        <v>1</v>
      </c>
      <c r="C85">
        <v>74000</v>
      </c>
      <c r="D85">
        <v>186133</v>
      </c>
      <c r="E85">
        <v>74000</v>
      </c>
      <c r="F85">
        <v>74000</v>
      </c>
      <c r="G85" s="1">
        <v>0.04</v>
      </c>
      <c r="H85" s="1">
        <v>0.04</v>
      </c>
      <c r="I85" s="1">
        <v>0.04</v>
      </c>
      <c r="J85" s="1">
        <v>0.34239999999999998</v>
      </c>
    </row>
    <row r="86" spans="1:10" x14ac:dyDescent="0.2">
      <c r="A86" t="str">
        <f>"07/05/2026"</f>
        <v>07/05/2026</v>
      </c>
      <c r="B86">
        <v>3</v>
      </c>
      <c r="C86">
        <v>77000</v>
      </c>
      <c r="D86">
        <v>199179</v>
      </c>
      <c r="E86">
        <v>77000</v>
      </c>
      <c r="F86">
        <v>77000</v>
      </c>
      <c r="G86" s="1">
        <v>0.04</v>
      </c>
      <c r="H86" s="1">
        <v>0.04</v>
      </c>
      <c r="I86" s="1">
        <v>0.04</v>
      </c>
      <c r="J86" s="1">
        <v>0.33929999999999999</v>
      </c>
    </row>
    <row r="87" spans="1:10" x14ac:dyDescent="0.2">
      <c r="A87" t="str">
        <f>"06/05/2026"</f>
        <v>06/05/2026</v>
      </c>
      <c r="B87">
        <v>1</v>
      </c>
      <c r="C87">
        <v>77000</v>
      </c>
      <c r="D87">
        <v>211324</v>
      </c>
      <c r="E87">
        <v>77000</v>
      </c>
      <c r="F87">
        <v>77000</v>
      </c>
      <c r="G87" s="1">
        <v>0.04</v>
      </c>
      <c r="H87" s="1">
        <v>0.04</v>
      </c>
      <c r="I87" s="1">
        <v>0.04</v>
      </c>
      <c r="J87" s="1">
        <v>0.30980000000000002</v>
      </c>
    </row>
    <row r="88" spans="1:10" x14ac:dyDescent="0.2">
      <c r="A88" t="str">
        <f>"05/05/2026"</f>
        <v>05/05/2026</v>
      </c>
      <c r="B88">
        <v>1</v>
      </c>
      <c r="C88">
        <v>79000</v>
      </c>
      <c r="D88">
        <v>216711</v>
      </c>
      <c r="E88">
        <v>79000</v>
      </c>
      <c r="F88">
        <v>79000</v>
      </c>
      <c r="G88" s="1">
        <v>0.04</v>
      </c>
      <c r="H88" s="1">
        <v>0.04</v>
      </c>
      <c r="I88" s="1">
        <v>0.04</v>
      </c>
      <c r="J88" s="1">
        <v>0.31130000000000002</v>
      </c>
    </row>
    <row r="89" spans="1:10" x14ac:dyDescent="0.2">
      <c r="A89" t="str">
        <f>"04/05/2026"</f>
        <v>04/05/2026</v>
      </c>
      <c r="B89">
        <v>1</v>
      </c>
      <c r="C89">
        <v>76000</v>
      </c>
      <c r="D89">
        <v>228453</v>
      </c>
      <c r="E89">
        <v>76000</v>
      </c>
      <c r="F89">
        <v>76000</v>
      </c>
      <c r="G89" s="1">
        <v>0.04</v>
      </c>
      <c r="H89" s="1">
        <v>0.04</v>
      </c>
      <c r="I89" s="1">
        <v>0.04</v>
      </c>
      <c r="J89" s="1">
        <v>0.28389999999999999</v>
      </c>
    </row>
    <row r="90" spans="1:10" x14ac:dyDescent="0.2">
      <c r="A90" t="str">
        <f>"03/05/2026"</f>
        <v>03/05/2026</v>
      </c>
      <c r="B90">
        <v>1</v>
      </c>
      <c r="C90">
        <v>77000</v>
      </c>
      <c r="D90">
        <v>210932</v>
      </c>
      <c r="E90">
        <v>77000</v>
      </c>
      <c r="F90">
        <v>77000</v>
      </c>
      <c r="G90" s="1">
        <v>0.04</v>
      </c>
      <c r="H90" s="1">
        <v>0.04</v>
      </c>
      <c r="I90" s="1">
        <v>0.04</v>
      </c>
      <c r="J90" s="1">
        <v>0.31890000000000002</v>
      </c>
    </row>
    <row r="91" spans="1:10" x14ac:dyDescent="0.2">
      <c r="A91" t="str">
        <f>"30/04/2026"</f>
        <v>30/04/2026</v>
      </c>
      <c r="B91">
        <v>3</v>
      </c>
      <c r="C91">
        <v>67000</v>
      </c>
      <c r="D91">
        <v>159948</v>
      </c>
      <c r="E91">
        <v>67000</v>
      </c>
      <c r="F91">
        <v>67000</v>
      </c>
      <c r="G91" s="1">
        <v>0.04</v>
      </c>
      <c r="H91" s="1">
        <v>0.04</v>
      </c>
      <c r="I91" s="1">
        <v>0.04</v>
      </c>
      <c r="J91" s="1">
        <v>0.3543</v>
      </c>
    </row>
    <row r="92" spans="1:10" x14ac:dyDescent="0.2">
      <c r="A92" t="str">
        <f>"29/04/2026"</f>
        <v>29/04/2026</v>
      </c>
      <c r="B92">
        <v>1</v>
      </c>
      <c r="C92">
        <v>58000</v>
      </c>
      <c r="D92">
        <v>160488</v>
      </c>
      <c r="E92">
        <v>58000</v>
      </c>
      <c r="F92">
        <v>58000</v>
      </c>
      <c r="G92" s="1">
        <v>0.04</v>
      </c>
      <c r="H92" s="1">
        <v>0.04</v>
      </c>
      <c r="I92" s="1">
        <v>0.04</v>
      </c>
      <c r="J92" s="1">
        <v>0.28310000000000002</v>
      </c>
    </row>
    <row r="93" spans="1:10" x14ac:dyDescent="0.2">
      <c r="A93" t="str">
        <f>"28/04/2026"</f>
        <v>28/04/2026</v>
      </c>
      <c r="B93">
        <v>1</v>
      </c>
      <c r="C93">
        <v>55000</v>
      </c>
      <c r="D93">
        <v>155915</v>
      </c>
      <c r="E93">
        <v>55000</v>
      </c>
      <c r="F93">
        <v>55000</v>
      </c>
      <c r="G93" s="1">
        <v>0.04</v>
      </c>
      <c r="H93" s="1">
        <v>0.04</v>
      </c>
      <c r="I93" s="1">
        <v>0.04</v>
      </c>
      <c r="J93" s="1">
        <v>0.27350000000000002</v>
      </c>
    </row>
    <row r="94" spans="1:10" x14ac:dyDescent="0.2">
      <c r="A94" t="str">
        <f>"27/04/2026"</f>
        <v>27/04/2026</v>
      </c>
      <c r="B94">
        <v>1</v>
      </c>
      <c r="C94">
        <v>69000</v>
      </c>
      <c r="D94">
        <v>194475</v>
      </c>
      <c r="E94">
        <v>69000</v>
      </c>
      <c r="F94">
        <v>69000</v>
      </c>
      <c r="G94" s="1">
        <v>0.04</v>
      </c>
      <c r="H94" s="1">
        <v>0.04</v>
      </c>
      <c r="I94" s="1">
        <v>0.04</v>
      </c>
      <c r="J94" s="1">
        <v>0.28070000000000001</v>
      </c>
    </row>
    <row r="95" spans="1:10" x14ac:dyDescent="0.2">
      <c r="A95" t="str">
        <f>"26/04/2026"</f>
        <v>26/04/2026</v>
      </c>
      <c r="B95">
        <v>1</v>
      </c>
      <c r="C95">
        <v>71000</v>
      </c>
      <c r="D95">
        <v>192560</v>
      </c>
      <c r="E95">
        <v>71000</v>
      </c>
      <c r="F95">
        <v>71000</v>
      </c>
      <c r="G95" s="1">
        <v>0.04</v>
      </c>
      <c r="H95" s="1">
        <v>0.04</v>
      </c>
      <c r="I95" s="1">
        <v>0.04</v>
      </c>
      <c r="J95" s="1">
        <v>0.30220000000000002</v>
      </c>
    </row>
    <row r="96" spans="1:10" x14ac:dyDescent="0.2">
      <c r="A96" t="str">
        <f>"23/04/2026"</f>
        <v>23/04/2026</v>
      </c>
      <c r="B96">
        <v>3</v>
      </c>
      <c r="C96">
        <v>74000</v>
      </c>
      <c r="D96">
        <v>175698</v>
      </c>
      <c r="E96">
        <v>74000</v>
      </c>
      <c r="F96">
        <v>74000</v>
      </c>
      <c r="G96" s="1">
        <v>0.04</v>
      </c>
      <c r="H96" s="1">
        <v>0.04</v>
      </c>
      <c r="I96" s="1">
        <v>0.04</v>
      </c>
      <c r="J96" s="1">
        <v>0.35410000000000003</v>
      </c>
    </row>
    <row r="97" spans="1:10" x14ac:dyDescent="0.2">
      <c r="A97" t="str">
        <f>"20/04/2026"</f>
        <v>20/04/2026</v>
      </c>
      <c r="B97">
        <v>3</v>
      </c>
      <c r="C97">
        <v>58000</v>
      </c>
      <c r="D97">
        <v>141038</v>
      </c>
      <c r="E97">
        <v>58000</v>
      </c>
      <c r="F97">
        <v>58000</v>
      </c>
      <c r="G97" s="1">
        <v>0.04</v>
      </c>
      <c r="H97" s="1">
        <v>0.04</v>
      </c>
      <c r="I97" s="1">
        <v>0.04</v>
      </c>
      <c r="J97" s="1">
        <v>0.34160000000000001</v>
      </c>
    </row>
    <row r="98" spans="1:10" x14ac:dyDescent="0.2">
      <c r="A98" t="str">
        <f>"19/04/2026"</f>
        <v>19/04/2026</v>
      </c>
      <c r="B98">
        <v>1</v>
      </c>
      <c r="C98">
        <v>63000</v>
      </c>
      <c r="D98">
        <v>150123</v>
      </c>
      <c r="E98">
        <v>63000</v>
      </c>
      <c r="F98">
        <v>63000</v>
      </c>
      <c r="G98" s="1">
        <v>0.04</v>
      </c>
      <c r="H98" s="1">
        <v>0.04</v>
      </c>
      <c r="I98" s="1">
        <v>0.04</v>
      </c>
      <c r="J98" s="1">
        <v>0.35389999999999999</v>
      </c>
    </row>
    <row r="99" spans="1:10" x14ac:dyDescent="0.2">
      <c r="A99" t="str">
        <f>"16/04/2026"</f>
        <v>16/04/2026</v>
      </c>
      <c r="B99">
        <v>3</v>
      </c>
      <c r="C99">
        <v>64000</v>
      </c>
      <c r="D99">
        <v>154296</v>
      </c>
      <c r="E99">
        <v>64000</v>
      </c>
      <c r="F99">
        <v>64000</v>
      </c>
      <c r="G99" s="1">
        <v>0.04</v>
      </c>
      <c r="H99" s="1">
        <v>0.04</v>
      </c>
      <c r="I99" s="1">
        <v>0.04</v>
      </c>
      <c r="J99" s="1">
        <v>0.3276</v>
      </c>
    </row>
    <row r="100" spans="1:10" x14ac:dyDescent="0.2">
      <c r="A100" t="str">
        <f>"15/04/2026"</f>
        <v>15/04/2026</v>
      </c>
      <c r="B100">
        <v>1</v>
      </c>
      <c r="C100">
        <v>71000</v>
      </c>
      <c r="D100">
        <v>207952</v>
      </c>
      <c r="E100">
        <v>71000</v>
      </c>
      <c r="F100">
        <v>71000</v>
      </c>
      <c r="G100" s="1">
        <v>0.04</v>
      </c>
      <c r="H100" s="1">
        <v>0.04</v>
      </c>
      <c r="I100" s="1">
        <v>0.04</v>
      </c>
      <c r="J100" s="1">
        <v>0.27439999999999998</v>
      </c>
    </row>
    <row r="101" spans="1:10" x14ac:dyDescent="0.2">
      <c r="A101" t="str">
        <f>"14/04/2026"</f>
        <v>14/04/2026</v>
      </c>
      <c r="B101">
        <v>1</v>
      </c>
      <c r="C101">
        <v>72000</v>
      </c>
      <c r="D101">
        <v>228138</v>
      </c>
      <c r="E101">
        <v>72000</v>
      </c>
      <c r="F101">
        <v>72000</v>
      </c>
      <c r="G101" s="1">
        <v>0.04</v>
      </c>
      <c r="H101" s="1">
        <v>0.04</v>
      </c>
      <c r="I101" s="1">
        <v>0.04</v>
      </c>
      <c r="J101" s="1">
        <v>0.25030000000000002</v>
      </c>
    </row>
    <row r="102" spans="1:10" x14ac:dyDescent="0.2">
      <c r="A102" t="str">
        <f>"13/04/2026"</f>
        <v>13/04/2026</v>
      </c>
      <c r="B102">
        <v>1</v>
      </c>
      <c r="C102">
        <v>74000</v>
      </c>
      <c r="D102">
        <v>226409</v>
      </c>
      <c r="E102">
        <v>74000</v>
      </c>
      <c r="F102">
        <v>74000</v>
      </c>
      <c r="G102" s="1">
        <v>0.04</v>
      </c>
      <c r="H102" s="1">
        <v>0.04</v>
      </c>
      <c r="I102" s="1">
        <v>0.04</v>
      </c>
      <c r="J102" s="1">
        <v>0.26490000000000002</v>
      </c>
    </row>
    <row r="103" spans="1:10" x14ac:dyDescent="0.2">
      <c r="A103" t="str">
        <f>"12/04/2026"</f>
        <v>12/04/2026</v>
      </c>
      <c r="B103">
        <v>1</v>
      </c>
      <c r="C103">
        <v>73000</v>
      </c>
      <c r="D103">
        <v>205985</v>
      </c>
      <c r="E103">
        <v>73000</v>
      </c>
      <c r="F103">
        <v>73000</v>
      </c>
      <c r="G103" s="1">
        <v>0.04</v>
      </c>
      <c r="H103" s="1">
        <v>0.04</v>
      </c>
      <c r="I103" s="1">
        <v>0.04</v>
      </c>
      <c r="J103" s="1">
        <v>0.2828</v>
      </c>
    </row>
    <row r="104" spans="1:10" x14ac:dyDescent="0.2">
      <c r="A104" t="str">
        <f>"09/04/2026"</f>
        <v>09/04/2026</v>
      </c>
      <c r="B104">
        <v>3</v>
      </c>
      <c r="C104">
        <v>77000</v>
      </c>
      <c r="D104">
        <v>194114</v>
      </c>
      <c r="E104">
        <v>77000</v>
      </c>
      <c r="F104">
        <v>77000</v>
      </c>
      <c r="G104" s="1">
        <v>0.04</v>
      </c>
      <c r="H104" s="1">
        <v>0.04</v>
      </c>
      <c r="I104" s="1">
        <v>0.04</v>
      </c>
      <c r="J104" s="1">
        <v>0.32690000000000002</v>
      </c>
    </row>
    <row r="105" spans="1:10" x14ac:dyDescent="0.2">
      <c r="A105" t="str">
        <f>"06/04/2026"</f>
        <v>06/04/2026</v>
      </c>
      <c r="B105">
        <v>3</v>
      </c>
      <c r="C105">
        <v>76000</v>
      </c>
      <c r="D105">
        <v>199691</v>
      </c>
      <c r="E105">
        <v>76000</v>
      </c>
      <c r="F105">
        <v>76000</v>
      </c>
      <c r="G105" s="1">
        <v>0.04</v>
      </c>
      <c r="H105" s="1">
        <v>0.04</v>
      </c>
      <c r="I105" s="1">
        <v>0.04</v>
      </c>
      <c r="J105" s="1">
        <v>0.32019999999999998</v>
      </c>
    </row>
    <row r="106" spans="1:10" x14ac:dyDescent="0.2">
      <c r="A106" t="str">
        <f>"05/04/2026"</f>
        <v>05/04/2026</v>
      </c>
      <c r="B106">
        <v>1</v>
      </c>
      <c r="C106">
        <v>77000</v>
      </c>
      <c r="D106">
        <v>181953</v>
      </c>
      <c r="E106">
        <v>77000</v>
      </c>
      <c r="F106">
        <v>77000</v>
      </c>
      <c r="G106" s="1">
        <v>0.04</v>
      </c>
      <c r="H106" s="1">
        <v>0.04</v>
      </c>
      <c r="I106" s="1">
        <v>0.04</v>
      </c>
      <c r="J106" s="1">
        <v>0.35489999999999999</v>
      </c>
    </row>
    <row r="107" spans="1:10" x14ac:dyDescent="0.2">
      <c r="A107" t="str">
        <f>"31/03/2026"</f>
        <v>31/03/2026</v>
      </c>
      <c r="B107">
        <v>5</v>
      </c>
      <c r="C107">
        <v>69000</v>
      </c>
      <c r="D107">
        <v>134375</v>
      </c>
      <c r="E107">
        <v>69000</v>
      </c>
      <c r="F107">
        <v>69000</v>
      </c>
      <c r="G107" s="1">
        <v>0.04</v>
      </c>
      <c r="H107" s="1">
        <v>0.04</v>
      </c>
      <c r="I107" s="1">
        <v>0.04</v>
      </c>
      <c r="J107" s="1">
        <v>0.43969999999999998</v>
      </c>
    </row>
    <row r="108" spans="1:10" x14ac:dyDescent="0.2">
      <c r="A108" t="str">
        <f>"30/03/2026"</f>
        <v>30/03/2026</v>
      </c>
      <c r="B108">
        <v>1</v>
      </c>
      <c r="C108">
        <v>65000</v>
      </c>
      <c r="D108">
        <v>153373</v>
      </c>
      <c r="E108">
        <v>65000</v>
      </c>
      <c r="F108">
        <v>65000</v>
      </c>
      <c r="G108" s="1">
        <v>0.04</v>
      </c>
      <c r="H108" s="1">
        <v>0.04</v>
      </c>
      <c r="I108" s="1">
        <v>0.04</v>
      </c>
      <c r="J108" s="1">
        <v>0.3463</v>
      </c>
    </row>
    <row r="109" spans="1:10" x14ac:dyDescent="0.2">
      <c r="A109" t="str">
        <f>"29/03/2026"</f>
        <v>29/03/2026</v>
      </c>
      <c r="B109">
        <v>1</v>
      </c>
      <c r="C109">
        <v>66000</v>
      </c>
      <c r="D109">
        <v>160325</v>
      </c>
      <c r="E109">
        <v>66000</v>
      </c>
      <c r="F109">
        <v>66000</v>
      </c>
      <c r="G109" s="1">
        <v>0.04</v>
      </c>
      <c r="H109" s="1">
        <v>0.04</v>
      </c>
      <c r="I109" s="1">
        <v>0.04</v>
      </c>
      <c r="J109" s="1">
        <v>0.3417</v>
      </c>
    </row>
    <row r="110" spans="1:10" x14ac:dyDescent="0.2">
      <c r="A110" t="str">
        <f>"26/03/2026"</f>
        <v>26/03/2026</v>
      </c>
      <c r="B110">
        <v>3</v>
      </c>
      <c r="C110">
        <v>77000</v>
      </c>
      <c r="D110">
        <v>165048</v>
      </c>
      <c r="E110">
        <v>77000</v>
      </c>
      <c r="F110">
        <v>77000</v>
      </c>
      <c r="G110" s="1">
        <v>0.04</v>
      </c>
      <c r="H110" s="1">
        <v>0.04</v>
      </c>
      <c r="I110" s="1">
        <v>0.04</v>
      </c>
      <c r="J110" s="1">
        <v>0.4052</v>
      </c>
    </row>
    <row r="111" spans="1:10" x14ac:dyDescent="0.2">
      <c r="A111" t="str">
        <f>"25/03/2026"</f>
        <v>25/03/2026</v>
      </c>
      <c r="B111">
        <v>1</v>
      </c>
      <c r="C111">
        <v>77000</v>
      </c>
      <c r="D111">
        <v>71608</v>
      </c>
      <c r="E111">
        <v>71608</v>
      </c>
      <c r="F111">
        <v>71608</v>
      </c>
      <c r="G111" s="1">
        <v>0.04</v>
      </c>
      <c r="H111" s="1">
        <v>0.04</v>
      </c>
      <c r="I111" s="1">
        <v>0.04</v>
      </c>
      <c r="J111" s="1">
        <v>1</v>
      </c>
    </row>
    <row r="112" spans="1:10" x14ac:dyDescent="0.2">
      <c r="A112" t="str">
        <f>"24/03/2026"</f>
        <v>24/03/2026</v>
      </c>
      <c r="B112">
        <v>1</v>
      </c>
      <c r="C112">
        <v>76000</v>
      </c>
      <c r="D112">
        <v>124771</v>
      </c>
      <c r="E112">
        <v>76000</v>
      </c>
      <c r="F112">
        <v>76000</v>
      </c>
      <c r="G112" s="1">
        <v>0.04</v>
      </c>
      <c r="H112" s="1">
        <v>0.04</v>
      </c>
      <c r="I112" s="1">
        <v>0.04</v>
      </c>
      <c r="J112" s="1">
        <v>0.49909999999999999</v>
      </c>
    </row>
    <row r="113" spans="1:10" x14ac:dyDescent="0.2">
      <c r="A113" t="str">
        <f>"23/03/2026"</f>
        <v>23/03/2026</v>
      </c>
      <c r="B113">
        <v>1</v>
      </c>
      <c r="C113">
        <v>78000</v>
      </c>
      <c r="D113">
        <v>182227</v>
      </c>
      <c r="E113">
        <v>78000</v>
      </c>
      <c r="F113">
        <v>78000</v>
      </c>
      <c r="G113" s="1">
        <v>0.04</v>
      </c>
      <c r="H113" s="1">
        <v>0.04</v>
      </c>
      <c r="I113" s="1">
        <v>0.04</v>
      </c>
      <c r="J113" s="1">
        <v>0.34689999999999999</v>
      </c>
    </row>
    <row r="114" spans="1:10" x14ac:dyDescent="0.2">
      <c r="A114" t="str">
        <f>"22/03/2026"</f>
        <v>22/03/2026</v>
      </c>
      <c r="B114">
        <v>1</v>
      </c>
      <c r="C114">
        <v>80000</v>
      </c>
      <c r="D114">
        <v>221502</v>
      </c>
      <c r="E114">
        <v>80000</v>
      </c>
      <c r="F114">
        <v>80000</v>
      </c>
      <c r="G114" s="1">
        <v>0.04</v>
      </c>
      <c r="H114" s="1">
        <v>0.04</v>
      </c>
      <c r="I114" s="1">
        <v>0.04</v>
      </c>
      <c r="J114" s="1">
        <v>0.29709999999999998</v>
      </c>
    </row>
    <row r="115" spans="1:10" x14ac:dyDescent="0.2">
      <c r="A115" t="str">
        <f>"19/03/2026"</f>
        <v>19/03/2026</v>
      </c>
      <c r="B115">
        <v>3</v>
      </c>
      <c r="C115">
        <v>80000</v>
      </c>
      <c r="D115">
        <v>226083</v>
      </c>
      <c r="E115">
        <v>80000</v>
      </c>
      <c r="F115">
        <v>80000</v>
      </c>
      <c r="G115" s="1">
        <v>0.04</v>
      </c>
      <c r="H115" s="1">
        <v>0.04</v>
      </c>
      <c r="I115" s="1">
        <v>0.04</v>
      </c>
      <c r="J115" s="1">
        <v>0.2863</v>
      </c>
    </row>
    <row r="116" spans="1:10" x14ac:dyDescent="0.2">
      <c r="A116" t="str">
        <f>"18/03/2026"</f>
        <v>18/03/2026</v>
      </c>
      <c r="B116">
        <v>1</v>
      </c>
      <c r="C116">
        <v>80000</v>
      </c>
      <c r="D116">
        <v>251934</v>
      </c>
      <c r="E116">
        <v>80000</v>
      </c>
      <c r="F116">
        <v>80000</v>
      </c>
      <c r="G116" s="1">
        <v>0.04</v>
      </c>
      <c r="H116" s="1">
        <v>0.04</v>
      </c>
      <c r="I116" s="1">
        <v>0.04</v>
      </c>
      <c r="J116" s="1">
        <v>0.2475</v>
      </c>
    </row>
    <row r="117" spans="1:10" x14ac:dyDescent="0.2">
      <c r="A117" t="str">
        <f>"17/03/2026"</f>
        <v>17/03/2026</v>
      </c>
      <c r="B117">
        <v>1</v>
      </c>
      <c r="C117">
        <v>82000</v>
      </c>
      <c r="D117">
        <v>253218</v>
      </c>
      <c r="E117">
        <v>82000</v>
      </c>
      <c r="F117">
        <v>82000</v>
      </c>
      <c r="G117" s="1">
        <v>0.04</v>
      </c>
      <c r="H117" s="1">
        <v>0.04</v>
      </c>
      <c r="I117" s="1">
        <v>0.04</v>
      </c>
      <c r="J117" s="1">
        <v>0.25559999999999999</v>
      </c>
    </row>
    <row r="118" spans="1:10" x14ac:dyDescent="0.2">
      <c r="A118" t="str">
        <f>"16/03/2026"</f>
        <v>16/03/2026</v>
      </c>
      <c r="B118">
        <v>1</v>
      </c>
      <c r="C118">
        <v>86000</v>
      </c>
      <c r="D118">
        <v>272175</v>
      </c>
      <c r="E118">
        <v>86000</v>
      </c>
      <c r="F118">
        <v>86000</v>
      </c>
      <c r="G118" s="1">
        <v>0.04</v>
      </c>
      <c r="H118" s="1">
        <v>0.04</v>
      </c>
      <c r="I118" s="1">
        <v>0.04</v>
      </c>
      <c r="J118" s="1">
        <v>0.25119999999999998</v>
      </c>
    </row>
    <row r="119" spans="1:10" x14ac:dyDescent="0.2">
      <c r="A119" t="str">
        <f>"15/03/2026"</f>
        <v>15/03/2026</v>
      </c>
      <c r="B119">
        <v>1</v>
      </c>
      <c r="C119">
        <v>90000</v>
      </c>
      <c r="D119">
        <v>283670</v>
      </c>
      <c r="E119">
        <v>90000</v>
      </c>
      <c r="F119">
        <v>90000</v>
      </c>
      <c r="G119" s="1">
        <v>0.04</v>
      </c>
      <c r="H119" s="1">
        <v>0.04</v>
      </c>
      <c r="I119" s="1">
        <v>0.04</v>
      </c>
      <c r="J119" s="1">
        <v>0.25700000000000001</v>
      </c>
    </row>
    <row r="120" spans="1:10" x14ac:dyDescent="0.2">
      <c r="A120" t="str">
        <f>"12/03/2026"</f>
        <v>12/03/2026</v>
      </c>
      <c r="B120">
        <v>3</v>
      </c>
      <c r="C120">
        <v>91000</v>
      </c>
      <c r="D120">
        <v>255621</v>
      </c>
      <c r="E120">
        <v>91000</v>
      </c>
      <c r="F120">
        <v>91000</v>
      </c>
      <c r="G120" s="1">
        <v>0.04</v>
      </c>
      <c r="H120" s="1">
        <v>0.04</v>
      </c>
      <c r="I120" s="1">
        <v>0.04</v>
      </c>
      <c r="J120" s="1">
        <v>0.29210000000000003</v>
      </c>
    </row>
    <row r="121" spans="1:10" x14ac:dyDescent="0.2">
      <c r="A121" t="str">
        <f>"11/03/2026"</f>
        <v>11/03/2026</v>
      </c>
      <c r="B121">
        <v>1</v>
      </c>
      <c r="C121">
        <v>91000</v>
      </c>
      <c r="D121">
        <v>255071</v>
      </c>
      <c r="E121">
        <v>91000</v>
      </c>
      <c r="F121">
        <v>91000</v>
      </c>
      <c r="G121" s="1">
        <v>0.04</v>
      </c>
      <c r="H121" s="1">
        <v>0.04</v>
      </c>
      <c r="I121" s="1">
        <v>0.04</v>
      </c>
      <c r="J121" s="1">
        <v>0.26900000000000002</v>
      </c>
    </row>
    <row r="122" spans="1:10" x14ac:dyDescent="0.2">
      <c r="A122" t="str">
        <f>"10/03/2026"</f>
        <v>10/03/2026</v>
      </c>
      <c r="B122">
        <v>1</v>
      </c>
      <c r="C122">
        <v>91000</v>
      </c>
      <c r="D122">
        <v>267439</v>
      </c>
      <c r="E122">
        <v>91000</v>
      </c>
      <c r="F122">
        <v>91000</v>
      </c>
      <c r="G122" s="1">
        <v>0.04</v>
      </c>
      <c r="H122" s="1">
        <v>0.04</v>
      </c>
      <c r="I122" s="1">
        <v>0.04</v>
      </c>
      <c r="J122" s="1">
        <v>0.26719999999999999</v>
      </c>
    </row>
    <row r="123" spans="1:10" x14ac:dyDescent="0.2">
      <c r="A123" t="str">
        <f>"09/03/2026"</f>
        <v>09/03/2026</v>
      </c>
      <c r="B123">
        <v>1</v>
      </c>
      <c r="C123">
        <v>94000</v>
      </c>
      <c r="D123">
        <v>256646</v>
      </c>
      <c r="E123">
        <v>94000</v>
      </c>
      <c r="F123">
        <v>94000</v>
      </c>
      <c r="G123" s="1">
        <v>0.04</v>
      </c>
      <c r="H123" s="1">
        <v>0.04</v>
      </c>
      <c r="I123" s="1">
        <v>0.04</v>
      </c>
      <c r="J123" s="1">
        <v>0.2898</v>
      </c>
    </row>
    <row r="124" spans="1:10" x14ac:dyDescent="0.2">
      <c r="A124" t="str">
        <f>"08/03/2026"</f>
        <v>08/03/2026</v>
      </c>
      <c r="B124">
        <v>1</v>
      </c>
      <c r="C124">
        <v>94000</v>
      </c>
      <c r="D124">
        <v>271679</v>
      </c>
      <c r="E124">
        <v>94000</v>
      </c>
      <c r="F124">
        <v>94000</v>
      </c>
      <c r="G124" s="1">
        <v>0.04</v>
      </c>
      <c r="H124" s="1">
        <v>0.04</v>
      </c>
      <c r="I124" s="1">
        <v>0.04</v>
      </c>
      <c r="J124" s="1">
        <v>0.29020000000000001</v>
      </c>
    </row>
    <row r="125" spans="1:10" x14ac:dyDescent="0.2">
      <c r="A125" t="str">
        <f>"05/03/2026"</f>
        <v>05/03/2026</v>
      </c>
      <c r="B125">
        <v>3</v>
      </c>
      <c r="C125">
        <v>91000</v>
      </c>
      <c r="D125">
        <v>238663</v>
      </c>
      <c r="E125">
        <v>91000</v>
      </c>
      <c r="F125">
        <v>91000</v>
      </c>
      <c r="G125" s="1">
        <v>0.04</v>
      </c>
      <c r="H125" s="1">
        <v>0.04</v>
      </c>
      <c r="I125" s="1">
        <v>0.04</v>
      </c>
      <c r="J125" s="1">
        <v>0.32200000000000001</v>
      </c>
    </row>
    <row r="126" spans="1:10" x14ac:dyDescent="0.2">
      <c r="A126" t="str">
        <f>"04/03/2026"</f>
        <v>04/03/2026</v>
      </c>
      <c r="B126">
        <v>1</v>
      </c>
      <c r="C126">
        <v>93000</v>
      </c>
      <c r="D126">
        <v>247292</v>
      </c>
      <c r="E126">
        <v>93000</v>
      </c>
      <c r="F126">
        <v>93000</v>
      </c>
      <c r="G126" s="1">
        <v>0.04</v>
      </c>
      <c r="H126" s="1">
        <v>0.04</v>
      </c>
      <c r="I126" s="1">
        <v>0.04</v>
      </c>
      <c r="J126" s="1">
        <v>0.3352</v>
      </c>
    </row>
    <row r="127" spans="1:10" x14ac:dyDescent="0.2">
      <c r="A127" t="str">
        <f>"02/03/2026"</f>
        <v>02/03/2026</v>
      </c>
      <c r="B127">
        <v>2</v>
      </c>
      <c r="C127">
        <v>99000</v>
      </c>
      <c r="D127">
        <v>236390</v>
      </c>
      <c r="E127">
        <v>99000</v>
      </c>
      <c r="F127">
        <v>99000</v>
      </c>
      <c r="G127" s="1">
        <v>0.04</v>
      </c>
      <c r="H127" s="1">
        <v>0.04</v>
      </c>
      <c r="I127" s="1">
        <v>0.04</v>
      </c>
      <c r="J127" s="1">
        <v>0.37930000000000003</v>
      </c>
    </row>
    <row r="128" spans="1:10" x14ac:dyDescent="0.2">
      <c r="A128" t="str">
        <f>"01/03/2026"</f>
        <v>01/03/2026</v>
      </c>
      <c r="B128">
        <v>1</v>
      </c>
      <c r="C128">
        <v>99000</v>
      </c>
      <c r="D128">
        <v>212811</v>
      </c>
      <c r="E128">
        <v>99000</v>
      </c>
      <c r="F128">
        <v>99000</v>
      </c>
      <c r="G128" s="1">
        <v>0.04</v>
      </c>
      <c r="H128" s="1">
        <v>0.04</v>
      </c>
      <c r="I128" s="1">
        <v>0.04</v>
      </c>
      <c r="J128" s="1">
        <v>0.40550000000000003</v>
      </c>
    </row>
    <row r="129" spans="1:10" x14ac:dyDescent="0.2">
      <c r="A129" t="str">
        <f>"27/02/2026"</f>
        <v>27/02/2026</v>
      </c>
      <c r="B129">
        <v>2</v>
      </c>
      <c r="C129">
        <v>28000</v>
      </c>
      <c r="D129">
        <v>34275</v>
      </c>
      <c r="E129">
        <v>28000</v>
      </c>
      <c r="F129">
        <v>28000</v>
      </c>
      <c r="G129" s="1">
        <v>0.04</v>
      </c>
      <c r="H129" s="1">
        <v>0.04</v>
      </c>
      <c r="I129" s="1">
        <v>0.04</v>
      </c>
      <c r="J129" s="1">
        <v>0.81630000000000003</v>
      </c>
    </row>
    <row r="130" spans="1:10" x14ac:dyDescent="0.2">
      <c r="A130" t="str">
        <f>"26/02/2026"</f>
        <v>26/02/2026</v>
      </c>
      <c r="B130">
        <v>3</v>
      </c>
      <c r="C130">
        <v>47000</v>
      </c>
      <c r="D130">
        <v>90930</v>
      </c>
      <c r="E130">
        <v>47000</v>
      </c>
      <c r="F130">
        <v>47000</v>
      </c>
      <c r="G130" s="1">
        <v>0.04</v>
      </c>
      <c r="H130" s="1">
        <v>0.04</v>
      </c>
      <c r="I130" s="1">
        <v>0.04</v>
      </c>
      <c r="J130" s="1">
        <v>0.39700000000000002</v>
      </c>
    </row>
    <row r="131" spans="1:10" x14ac:dyDescent="0.2">
      <c r="A131" t="str">
        <f>"25/02/2026"</f>
        <v>25/02/2026</v>
      </c>
      <c r="B131">
        <v>1</v>
      </c>
      <c r="C131">
        <v>51000</v>
      </c>
      <c r="D131">
        <v>45717</v>
      </c>
      <c r="E131">
        <v>45717</v>
      </c>
      <c r="F131">
        <v>45717</v>
      </c>
      <c r="G131" s="1">
        <v>0.04</v>
      </c>
      <c r="H131" s="1">
        <v>0.04</v>
      </c>
      <c r="I131" s="1">
        <v>0.04</v>
      </c>
      <c r="J131" s="1">
        <v>1</v>
      </c>
    </row>
    <row r="132" spans="1:10" x14ac:dyDescent="0.2">
      <c r="A132" t="str">
        <f>"24/02/2026"</f>
        <v>24/02/2026</v>
      </c>
      <c r="B132">
        <v>1</v>
      </c>
      <c r="C132">
        <v>43000</v>
      </c>
      <c r="D132">
        <v>58138</v>
      </c>
      <c r="E132">
        <v>43000</v>
      </c>
      <c r="F132">
        <v>43000</v>
      </c>
      <c r="G132" s="1">
        <v>0.04</v>
      </c>
      <c r="H132" s="1">
        <v>0.04</v>
      </c>
      <c r="I132" s="1">
        <v>0.04</v>
      </c>
      <c r="J132" s="1">
        <v>0.61180000000000001</v>
      </c>
    </row>
    <row r="133" spans="1:10" x14ac:dyDescent="0.2">
      <c r="A133" t="str">
        <f>"23/02/2026"</f>
        <v>23/02/2026</v>
      </c>
      <c r="B133">
        <v>1</v>
      </c>
      <c r="C133">
        <v>53000</v>
      </c>
      <c r="D133">
        <v>101474</v>
      </c>
      <c r="E133">
        <v>53000</v>
      </c>
      <c r="F133">
        <v>53000</v>
      </c>
      <c r="G133" s="1">
        <v>0.04</v>
      </c>
      <c r="H133" s="1">
        <v>0.04</v>
      </c>
      <c r="I133" s="1">
        <v>0.04</v>
      </c>
      <c r="J133" s="1">
        <v>0.39779999999999999</v>
      </c>
    </row>
    <row r="134" spans="1:10" x14ac:dyDescent="0.2">
      <c r="A134" t="str">
        <f>"22/02/2026"</f>
        <v>22/02/2026</v>
      </c>
      <c r="B134">
        <v>1</v>
      </c>
      <c r="C134">
        <v>56000</v>
      </c>
      <c r="D134">
        <v>152762</v>
      </c>
      <c r="E134">
        <v>56000</v>
      </c>
      <c r="F134">
        <v>56000</v>
      </c>
      <c r="G134" s="1">
        <v>0.04</v>
      </c>
      <c r="H134" s="1">
        <v>0.04</v>
      </c>
      <c r="I134" s="1">
        <v>0.04</v>
      </c>
      <c r="J134" s="1">
        <v>0.29110000000000003</v>
      </c>
    </row>
    <row r="135" spans="1:10" x14ac:dyDescent="0.2">
      <c r="A135" t="str">
        <f>"19/02/2026"</f>
        <v>19/02/2026</v>
      </c>
      <c r="B135">
        <v>3</v>
      </c>
      <c r="C135">
        <v>62000</v>
      </c>
      <c r="D135">
        <v>201701</v>
      </c>
      <c r="E135">
        <v>62000</v>
      </c>
      <c r="F135">
        <v>62000</v>
      </c>
      <c r="G135" s="1">
        <v>0.04</v>
      </c>
      <c r="H135" s="1">
        <v>0.04</v>
      </c>
      <c r="I135" s="1">
        <v>0.04</v>
      </c>
      <c r="J135" s="1">
        <v>0.22520000000000001</v>
      </c>
    </row>
    <row r="136" spans="1:10" x14ac:dyDescent="0.2">
      <c r="A136" t="str">
        <f>"18/02/2026"</f>
        <v>18/02/2026</v>
      </c>
      <c r="B136">
        <v>1</v>
      </c>
      <c r="C136">
        <v>53000</v>
      </c>
      <c r="D136">
        <v>212848</v>
      </c>
      <c r="E136">
        <v>53000</v>
      </c>
      <c r="F136">
        <v>53000</v>
      </c>
      <c r="G136" s="1">
        <v>0.04</v>
      </c>
      <c r="H136" s="1">
        <v>0.04</v>
      </c>
      <c r="I136" s="1">
        <v>0.04</v>
      </c>
      <c r="J136" s="1">
        <v>0.18459999999999999</v>
      </c>
    </row>
    <row r="137" spans="1:10" x14ac:dyDescent="0.2">
      <c r="A137" t="str">
        <f>"17/02/2026"</f>
        <v>17/02/2026</v>
      </c>
      <c r="B137">
        <v>1</v>
      </c>
      <c r="C137">
        <v>57000</v>
      </c>
      <c r="D137">
        <v>233078</v>
      </c>
      <c r="E137">
        <v>57000</v>
      </c>
      <c r="F137">
        <v>57000</v>
      </c>
      <c r="G137" s="1">
        <v>0.04</v>
      </c>
      <c r="H137" s="1">
        <v>0.04</v>
      </c>
      <c r="I137" s="1">
        <v>0.04</v>
      </c>
      <c r="J137" s="1">
        <v>0.19869999999999999</v>
      </c>
    </row>
    <row r="138" spans="1:10" x14ac:dyDescent="0.2">
      <c r="A138" t="str">
        <f>"16/02/2026"</f>
        <v>16/02/2026</v>
      </c>
      <c r="B138">
        <v>1</v>
      </c>
      <c r="C138">
        <v>62000</v>
      </c>
      <c r="D138">
        <v>244908</v>
      </c>
      <c r="E138">
        <v>62000</v>
      </c>
      <c r="F138">
        <v>62000</v>
      </c>
      <c r="G138" s="1">
        <v>0.04</v>
      </c>
      <c r="H138" s="1">
        <v>0.04</v>
      </c>
      <c r="I138" s="1">
        <v>0.04</v>
      </c>
      <c r="J138" s="1">
        <v>0.21010000000000001</v>
      </c>
    </row>
    <row r="139" spans="1:10" x14ac:dyDescent="0.2">
      <c r="A139" t="str">
        <f>"15/02/2026"</f>
        <v>15/02/2026</v>
      </c>
      <c r="B139">
        <v>1</v>
      </c>
      <c r="C139">
        <v>67000</v>
      </c>
      <c r="D139">
        <v>249277</v>
      </c>
      <c r="E139">
        <v>67000</v>
      </c>
      <c r="F139">
        <v>67000</v>
      </c>
      <c r="G139" s="1">
        <v>0.04</v>
      </c>
      <c r="H139" s="1">
        <v>0.04</v>
      </c>
      <c r="I139" s="1">
        <v>0.04</v>
      </c>
      <c r="J139" s="1">
        <v>0.22</v>
      </c>
    </row>
    <row r="140" spans="1:10" x14ac:dyDescent="0.2">
      <c r="A140" t="str">
        <f>"12/02/2026"</f>
        <v>12/02/2026</v>
      </c>
      <c r="B140">
        <v>3</v>
      </c>
      <c r="C140">
        <v>72000</v>
      </c>
      <c r="D140">
        <v>254384</v>
      </c>
      <c r="E140">
        <v>72000</v>
      </c>
      <c r="F140">
        <v>72000</v>
      </c>
      <c r="G140" s="1">
        <v>0.04</v>
      </c>
      <c r="H140" s="1">
        <v>0.04</v>
      </c>
      <c r="I140" s="1">
        <v>0.04</v>
      </c>
      <c r="J140" s="1">
        <v>0.23069999999999999</v>
      </c>
    </row>
    <row r="141" spans="1:10" x14ac:dyDescent="0.2">
      <c r="A141" t="str">
        <f>"11/02/2026"</f>
        <v>11/02/2026</v>
      </c>
      <c r="B141">
        <v>1</v>
      </c>
      <c r="C141">
        <v>69000</v>
      </c>
      <c r="D141">
        <v>274725</v>
      </c>
      <c r="E141">
        <v>69000</v>
      </c>
      <c r="F141">
        <v>69000</v>
      </c>
      <c r="G141" s="1">
        <v>0.04</v>
      </c>
      <c r="H141" s="1">
        <v>0.04</v>
      </c>
      <c r="I141" s="1">
        <v>0.04</v>
      </c>
      <c r="J141" s="1">
        <v>0.20960000000000001</v>
      </c>
    </row>
    <row r="142" spans="1:10" x14ac:dyDescent="0.2">
      <c r="A142" t="str">
        <f>"10/02/2026"</f>
        <v>10/02/2026</v>
      </c>
      <c r="B142">
        <v>1</v>
      </c>
      <c r="C142">
        <v>71000</v>
      </c>
      <c r="D142">
        <v>258782</v>
      </c>
      <c r="E142">
        <v>71000</v>
      </c>
      <c r="F142">
        <v>71000</v>
      </c>
      <c r="G142" s="1">
        <v>0.04</v>
      </c>
      <c r="H142" s="1">
        <v>0.04</v>
      </c>
      <c r="I142" s="1">
        <v>0.04</v>
      </c>
      <c r="J142" s="1">
        <v>0.2339</v>
      </c>
    </row>
    <row r="143" spans="1:10" x14ac:dyDescent="0.2">
      <c r="A143" t="str">
        <f>"09/02/2026"</f>
        <v>09/02/2026</v>
      </c>
      <c r="B143">
        <v>1</v>
      </c>
      <c r="C143">
        <v>73000</v>
      </c>
      <c r="D143">
        <v>262036</v>
      </c>
      <c r="E143">
        <v>73000</v>
      </c>
      <c r="F143">
        <v>73000</v>
      </c>
      <c r="G143" s="1">
        <v>0.04</v>
      </c>
      <c r="H143" s="1">
        <v>0.04</v>
      </c>
      <c r="I143" s="1">
        <v>0.04</v>
      </c>
      <c r="J143" s="1">
        <v>0.24049999999999999</v>
      </c>
    </row>
    <row r="144" spans="1:10" x14ac:dyDescent="0.2">
      <c r="A144" t="str">
        <f>"08/02/2026"</f>
        <v>08/02/2026</v>
      </c>
      <c r="B144">
        <v>1</v>
      </c>
      <c r="C144">
        <v>72000</v>
      </c>
      <c r="D144">
        <v>262934</v>
      </c>
      <c r="E144">
        <v>72000</v>
      </c>
      <c r="F144">
        <v>72000</v>
      </c>
      <c r="G144" s="1">
        <v>0.04</v>
      </c>
      <c r="H144" s="1">
        <v>0.04</v>
      </c>
      <c r="I144" s="1">
        <v>0.04</v>
      </c>
      <c r="J144" s="1">
        <v>0.23899999999999999</v>
      </c>
    </row>
    <row r="145" spans="1:10" x14ac:dyDescent="0.2">
      <c r="A145" t="str">
        <f>"05/02/2026"</f>
        <v>05/02/2026</v>
      </c>
      <c r="B145">
        <v>3</v>
      </c>
      <c r="C145">
        <v>73000</v>
      </c>
      <c r="D145">
        <v>228825</v>
      </c>
      <c r="E145">
        <v>73000</v>
      </c>
      <c r="F145">
        <v>73000</v>
      </c>
      <c r="G145" s="1">
        <v>0.04</v>
      </c>
      <c r="H145" s="1">
        <v>0.04</v>
      </c>
      <c r="I145" s="1">
        <v>0.04</v>
      </c>
      <c r="J145" s="1">
        <v>0.28120000000000001</v>
      </c>
    </row>
    <row r="146" spans="1:10" x14ac:dyDescent="0.2">
      <c r="A146" t="str">
        <f>"04/02/2026"</f>
        <v>04/02/2026</v>
      </c>
      <c r="B146">
        <v>1</v>
      </c>
      <c r="C146">
        <v>63000</v>
      </c>
      <c r="D146">
        <v>224085</v>
      </c>
      <c r="E146">
        <v>63000</v>
      </c>
      <c r="F146">
        <v>63000</v>
      </c>
      <c r="G146" s="1">
        <v>0.04</v>
      </c>
      <c r="H146" s="1">
        <v>0.04</v>
      </c>
      <c r="I146" s="1">
        <v>0.04</v>
      </c>
      <c r="J146" s="1">
        <v>0.24399999999999999</v>
      </c>
    </row>
    <row r="147" spans="1:10" x14ac:dyDescent="0.2">
      <c r="A147" t="str">
        <f>"03/02/2026"</f>
        <v>03/02/2026</v>
      </c>
      <c r="B147">
        <v>1</v>
      </c>
      <c r="C147">
        <v>68000</v>
      </c>
      <c r="D147">
        <v>253850</v>
      </c>
      <c r="E147">
        <v>68000</v>
      </c>
      <c r="F147">
        <v>68000</v>
      </c>
      <c r="G147" s="1">
        <v>0.04</v>
      </c>
      <c r="H147" s="1">
        <v>0.04</v>
      </c>
      <c r="I147" s="1">
        <v>0.04</v>
      </c>
      <c r="J147" s="1">
        <v>0.23</v>
      </c>
    </row>
    <row r="148" spans="1:10" x14ac:dyDescent="0.2">
      <c r="A148" t="str">
        <f>"02/02/2026"</f>
        <v>02/02/2026</v>
      </c>
      <c r="B148">
        <v>1</v>
      </c>
      <c r="C148">
        <v>71000</v>
      </c>
      <c r="D148">
        <v>268000</v>
      </c>
      <c r="E148">
        <v>71000</v>
      </c>
      <c r="F148">
        <v>71000</v>
      </c>
      <c r="G148" s="1">
        <v>0.04</v>
      </c>
      <c r="H148" s="1">
        <v>0.04</v>
      </c>
      <c r="I148" s="1">
        <v>0.04</v>
      </c>
      <c r="J148" s="1">
        <v>0.2266</v>
      </c>
    </row>
    <row r="149" spans="1:10" x14ac:dyDescent="0.2">
      <c r="A149" t="str">
        <f>"01/02/2026"</f>
        <v>01/02/2026</v>
      </c>
      <c r="B149">
        <v>1</v>
      </c>
      <c r="C149">
        <v>70000</v>
      </c>
      <c r="D149">
        <v>253387</v>
      </c>
      <c r="E149">
        <v>70000</v>
      </c>
      <c r="F149">
        <v>70000</v>
      </c>
      <c r="G149" s="1">
        <v>0.04</v>
      </c>
      <c r="H149" s="1">
        <v>0.04</v>
      </c>
      <c r="I149" s="1">
        <v>0.04</v>
      </c>
      <c r="J149" s="1">
        <v>0.22950000000000001</v>
      </c>
    </row>
    <row r="150" spans="1:10" x14ac:dyDescent="0.2">
      <c r="A150" t="str">
        <f>"29/01/2026"</f>
        <v>29/01/2026</v>
      </c>
      <c r="B150">
        <v>3</v>
      </c>
      <c r="C150">
        <v>60000</v>
      </c>
      <c r="D150">
        <v>216127</v>
      </c>
      <c r="E150">
        <v>60000</v>
      </c>
      <c r="F150">
        <v>60000</v>
      </c>
      <c r="G150" s="1">
        <v>0.04</v>
      </c>
      <c r="H150" s="1">
        <v>0.04</v>
      </c>
      <c r="I150" s="1">
        <v>0.04</v>
      </c>
      <c r="J150" s="1">
        <v>0.2152</v>
      </c>
    </row>
    <row r="151" spans="1:10" x14ac:dyDescent="0.2">
      <c r="A151" t="str">
        <f>"28/01/2026"</f>
        <v>28/01/2026</v>
      </c>
      <c r="B151">
        <v>1</v>
      </c>
      <c r="C151">
        <v>59000</v>
      </c>
      <c r="D151">
        <v>170266</v>
      </c>
      <c r="E151">
        <v>59000</v>
      </c>
      <c r="F151">
        <v>59000</v>
      </c>
      <c r="G151" s="1">
        <v>0.04</v>
      </c>
      <c r="H151" s="1">
        <v>0.04</v>
      </c>
      <c r="I151" s="1">
        <v>0.04</v>
      </c>
      <c r="J151" s="1">
        <v>0.21890000000000001</v>
      </c>
    </row>
    <row r="152" spans="1:10" x14ac:dyDescent="0.2">
      <c r="A152" t="str">
        <f>"27/01/2026"</f>
        <v>27/01/2026</v>
      </c>
      <c r="B152">
        <v>1</v>
      </c>
      <c r="C152">
        <v>57000</v>
      </c>
      <c r="D152">
        <v>151694</v>
      </c>
      <c r="E152">
        <v>57000</v>
      </c>
      <c r="F152">
        <v>57000</v>
      </c>
      <c r="G152" s="1">
        <v>0.04</v>
      </c>
      <c r="H152" s="1">
        <v>0.04</v>
      </c>
      <c r="I152" s="1">
        <v>0.04</v>
      </c>
      <c r="J152" s="1">
        <v>0.25380000000000003</v>
      </c>
    </row>
    <row r="153" spans="1:10" x14ac:dyDescent="0.2">
      <c r="A153" t="str">
        <f>"26/01/2026"</f>
        <v>26/01/2026</v>
      </c>
      <c r="B153">
        <v>1</v>
      </c>
      <c r="C153">
        <v>60000</v>
      </c>
      <c r="D153">
        <v>164472</v>
      </c>
      <c r="E153">
        <v>60000</v>
      </c>
      <c r="F153">
        <v>60000</v>
      </c>
      <c r="G153" s="1">
        <v>0.04</v>
      </c>
      <c r="H153" s="1">
        <v>0.04</v>
      </c>
      <c r="I153" s="1">
        <v>0.04</v>
      </c>
      <c r="J153" s="1">
        <v>0.28470000000000001</v>
      </c>
    </row>
    <row r="154" spans="1:10" x14ac:dyDescent="0.2">
      <c r="A154" t="str">
        <f>"25/01/2026"</f>
        <v>25/01/2026</v>
      </c>
      <c r="B154">
        <v>1</v>
      </c>
      <c r="C154">
        <v>59000</v>
      </c>
      <c r="D154">
        <v>140727</v>
      </c>
      <c r="E154">
        <v>59000</v>
      </c>
      <c r="F154">
        <v>59000</v>
      </c>
      <c r="G154" s="1">
        <v>0.04</v>
      </c>
      <c r="H154" s="1">
        <v>0.04</v>
      </c>
      <c r="I154" s="1">
        <v>0.04</v>
      </c>
      <c r="J154" s="1">
        <v>0.35560000000000003</v>
      </c>
    </row>
    <row r="155" spans="1:10" x14ac:dyDescent="0.2">
      <c r="A155" t="str">
        <f>"22/01/2026"</f>
        <v>22/01/2026</v>
      </c>
      <c r="B155">
        <v>3</v>
      </c>
      <c r="C155">
        <v>63000</v>
      </c>
      <c r="D155">
        <v>120601</v>
      </c>
      <c r="E155">
        <v>63000</v>
      </c>
      <c r="F155">
        <v>63000</v>
      </c>
      <c r="G155" s="1">
        <v>0.04</v>
      </c>
      <c r="H155" s="1">
        <v>0.04</v>
      </c>
      <c r="I155" s="1">
        <v>0.04</v>
      </c>
      <c r="J155" s="1">
        <v>0.4602</v>
      </c>
    </row>
    <row r="156" spans="1:10" x14ac:dyDescent="0.2">
      <c r="A156" t="str">
        <f>"21/01/2026"</f>
        <v>21/01/2026</v>
      </c>
      <c r="B156">
        <v>1</v>
      </c>
      <c r="C156">
        <v>64000</v>
      </c>
      <c r="D156">
        <v>122327</v>
      </c>
      <c r="E156">
        <v>64000</v>
      </c>
      <c r="F156">
        <v>64000</v>
      </c>
      <c r="G156" s="1">
        <v>0.04</v>
      </c>
      <c r="H156" s="1">
        <v>0.04</v>
      </c>
      <c r="I156" s="1">
        <v>0.04</v>
      </c>
      <c r="J156" s="1">
        <v>0.45229999999999998</v>
      </c>
    </row>
    <row r="157" spans="1:10" x14ac:dyDescent="0.2">
      <c r="A157" t="str">
        <f>"20/01/2026"</f>
        <v>20/01/2026</v>
      </c>
      <c r="B157">
        <v>1</v>
      </c>
      <c r="C157">
        <v>70000</v>
      </c>
      <c r="D157">
        <v>133412</v>
      </c>
      <c r="E157">
        <v>70000</v>
      </c>
      <c r="F157">
        <v>70000</v>
      </c>
      <c r="G157" s="1">
        <v>0.04</v>
      </c>
      <c r="H157" s="1">
        <v>0.04</v>
      </c>
      <c r="I157" s="1">
        <v>0.04</v>
      </c>
      <c r="J157" s="1">
        <v>0.4733</v>
      </c>
    </row>
    <row r="158" spans="1:10" x14ac:dyDescent="0.2">
      <c r="A158" t="str">
        <f>"19/01/2026"</f>
        <v>19/01/2026</v>
      </c>
      <c r="B158">
        <v>1</v>
      </c>
      <c r="C158">
        <v>84000</v>
      </c>
      <c r="D158">
        <v>175257</v>
      </c>
      <c r="E158">
        <v>84000</v>
      </c>
      <c r="F158">
        <v>84000</v>
      </c>
      <c r="G158" s="1">
        <v>0.04</v>
      </c>
      <c r="H158" s="1">
        <v>0.04</v>
      </c>
      <c r="I158" s="1">
        <v>0.04</v>
      </c>
      <c r="J158" s="1">
        <v>0.436</v>
      </c>
    </row>
    <row r="159" spans="1:10" x14ac:dyDescent="0.2">
      <c r="A159" t="str">
        <f>"18/01/2026"</f>
        <v>18/01/2026</v>
      </c>
      <c r="B159">
        <v>1</v>
      </c>
      <c r="C159">
        <v>88000</v>
      </c>
      <c r="D159">
        <v>178347</v>
      </c>
      <c r="E159">
        <v>88000</v>
      </c>
      <c r="F159">
        <v>88000</v>
      </c>
      <c r="G159" s="1">
        <v>0.04</v>
      </c>
      <c r="H159" s="1">
        <v>0.04</v>
      </c>
      <c r="I159" s="1">
        <v>0.04</v>
      </c>
      <c r="J159" s="1">
        <v>0.44790000000000002</v>
      </c>
    </row>
    <row r="160" spans="1:10" x14ac:dyDescent="0.2">
      <c r="A160" t="str">
        <f>"15/01/2026"</f>
        <v>15/01/2026</v>
      </c>
      <c r="B160">
        <v>3</v>
      </c>
      <c r="C160">
        <v>91000</v>
      </c>
      <c r="D160">
        <v>193517</v>
      </c>
      <c r="E160">
        <v>91000</v>
      </c>
      <c r="F160">
        <v>91000</v>
      </c>
      <c r="G160" s="1">
        <v>0.04</v>
      </c>
      <c r="H160" s="1">
        <v>0.04</v>
      </c>
      <c r="I160" s="1">
        <v>0.04</v>
      </c>
      <c r="J160" s="1">
        <v>0.41520000000000001</v>
      </c>
    </row>
    <row r="161" spans="1:10" x14ac:dyDescent="0.2">
      <c r="A161" t="str">
        <f>"14/01/2026"</f>
        <v>14/01/2026</v>
      </c>
      <c r="B161">
        <v>1</v>
      </c>
      <c r="C161">
        <v>99000</v>
      </c>
      <c r="D161">
        <v>219590</v>
      </c>
      <c r="E161">
        <v>99000</v>
      </c>
      <c r="F161">
        <v>99000</v>
      </c>
      <c r="G161" s="1">
        <v>0.04</v>
      </c>
      <c r="H161" s="1">
        <v>0.04</v>
      </c>
      <c r="I161" s="1">
        <v>0.04</v>
      </c>
      <c r="J161" s="1">
        <v>0.41410000000000002</v>
      </c>
    </row>
    <row r="162" spans="1:10" x14ac:dyDescent="0.2">
      <c r="A162" t="str">
        <f>"13/01/2026"</f>
        <v>13/01/2026</v>
      </c>
      <c r="B162">
        <v>1</v>
      </c>
      <c r="C162">
        <v>100000</v>
      </c>
      <c r="D162">
        <v>213770</v>
      </c>
      <c r="E162">
        <v>100000</v>
      </c>
      <c r="F162">
        <v>100000</v>
      </c>
      <c r="G162" s="1">
        <v>0.04</v>
      </c>
      <c r="H162" s="1">
        <v>0.04</v>
      </c>
      <c r="I162" s="1">
        <v>0.04</v>
      </c>
      <c r="J162" s="1">
        <v>0.41410000000000002</v>
      </c>
    </row>
    <row r="163" spans="1:10" x14ac:dyDescent="0.2">
      <c r="A163" t="str">
        <f>"12/01/2026"</f>
        <v>12/01/2026</v>
      </c>
      <c r="B163">
        <v>1</v>
      </c>
      <c r="C163">
        <v>103000</v>
      </c>
      <c r="D163">
        <v>219326</v>
      </c>
      <c r="E163">
        <v>103000</v>
      </c>
      <c r="F163">
        <v>103000</v>
      </c>
      <c r="G163" s="1">
        <v>0.04</v>
      </c>
      <c r="H163" s="1">
        <v>0.04</v>
      </c>
      <c r="I163" s="1">
        <v>0.04</v>
      </c>
      <c r="J163" s="1">
        <v>0.40350000000000003</v>
      </c>
    </row>
    <row r="164" spans="1:10" x14ac:dyDescent="0.2">
      <c r="A164" t="str">
        <f>"11/01/2026"</f>
        <v>11/01/2026</v>
      </c>
      <c r="B164">
        <v>1</v>
      </c>
      <c r="C164">
        <v>99000</v>
      </c>
      <c r="D164">
        <v>212373</v>
      </c>
      <c r="E164">
        <v>99000</v>
      </c>
      <c r="F164">
        <v>99000</v>
      </c>
      <c r="G164" s="1">
        <v>0.04</v>
      </c>
      <c r="H164" s="1">
        <v>0.04</v>
      </c>
      <c r="I164" s="1">
        <v>0.04</v>
      </c>
      <c r="J164" s="1">
        <v>0.39910000000000001</v>
      </c>
    </row>
    <row r="165" spans="1:10" x14ac:dyDescent="0.2">
      <c r="A165" t="str">
        <f>"08/01/2026"</f>
        <v>08/01/2026</v>
      </c>
      <c r="B165">
        <v>3</v>
      </c>
      <c r="C165">
        <v>97000</v>
      </c>
      <c r="D165">
        <v>193239</v>
      </c>
      <c r="E165">
        <v>97000</v>
      </c>
      <c r="F165">
        <v>97000</v>
      </c>
      <c r="G165" s="1">
        <v>0.04</v>
      </c>
      <c r="H165" s="1">
        <v>0.04</v>
      </c>
      <c r="I165" s="1">
        <v>0.04</v>
      </c>
      <c r="J165" s="1">
        <v>0.46510000000000001</v>
      </c>
    </row>
    <row r="166" spans="1:10" x14ac:dyDescent="0.2">
      <c r="A166" t="str">
        <f>"07/01/2026"</f>
        <v>07/01/2026</v>
      </c>
      <c r="B166">
        <v>1</v>
      </c>
      <c r="C166">
        <v>99000</v>
      </c>
      <c r="D166">
        <v>94457</v>
      </c>
      <c r="E166">
        <v>94457</v>
      </c>
      <c r="F166">
        <v>94457</v>
      </c>
      <c r="G166" s="1">
        <v>4.2500000000000003E-2</v>
      </c>
      <c r="H166" s="1">
        <v>4.2500000000000003E-2</v>
      </c>
      <c r="I166" s="1">
        <v>4.2500000000000003E-2</v>
      </c>
      <c r="J166" s="1">
        <v>1</v>
      </c>
    </row>
    <row r="167" spans="1:10" x14ac:dyDescent="0.2">
      <c r="A167" t="str">
        <f>"06/01/2026"</f>
        <v>06/01/2026</v>
      </c>
      <c r="B167">
        <v>1</v>
      </c>
      <c r="C167">
        <v>90000</v>
      </c>
      <c r="D167">
        <v>161211</v>
      </c>
      <c r="E167">
        <v>90000</v>
      </c>
      <c r="F167">
        <v>90000</v>
      </c>
      <c r="G167" s="1">
        <v>4.2500000000000003E-2</v>
      </c>
      <c r="H167" s="1">
        <v>4.2500000000000003E-2</v>
      </c>
      <c r="I167" s="1">
        <v>4.2500000000000003E-2</v>
      </c>
      <c r="J167" s="1">
        <v>0.43930000000000002</v>
      </c>
    </row>
    <row r="168" spans="1:10" x14ac:dyDescent="0.2">
      <c r="A168" t="str">
        <f>"05/01/2026"</f>
        <v>05/01/2026</v>
      </c>
      <c r="B168">
        <v>1</v>
      </c>
      <c r="C168">
        <v>93000</v>
      </c>
      <c r="D168">
        <v>176239</v>
      </c>
      <c r="E168">
        <v>93000</v>
      </c>
      <c r="F168">
        <v>93000</v>
      </c>
      <c r="G168" s="1">
        <v>4.2500000000000003E-2</v>
      </c>
      <c r="H168" s="1">
        <v>4.2500000000000003E-2</v>
      </c>
      <c r="I168" s="1">
        <v>4.2500000000000003E-2</v>
      </c>
      <c r="J168" s="1">
        <v>0.47120000000000001</v>
      </c>
    </row>
    <row r="169" spans="1:10" x14ac:dyDescent="0.2">
      <c r="A169" t="str">
        <f>"04/01/2026"</f>
        <v>04/01/2026</v>
      </c>
      <c r="B169">
        <v>1</v>
      </c>
      <c r="C169">
        <v>93000</v>
      </c>
      <c r="D169">
        <v>207654</v>
      </c>
      <c r="E169">
        <v>93000</v>
      </c>
      <c r="F169">
        <v>93000</v>
      </c>
      <c r="G169" s="1">
        <v>4.2500000000000003E-2</v>
      </c>
      <c r="H169" s="1">
        <v>4.2500000000000003E-2</v>
      </c>
      <c r="I169" s="1">
        <v>4.2500000000000003E-2</v>
      </c>
      <c r="J169" s="1">
        <v>0.41589999999999999</v>
      </c>
    </row>
    <row r="170" spans="1:10" x14ac:dyDescent="0.2">
      <c r="A170" t="str">
        <f>"01/01/2026"</f>
        <v>01/01/2026</v>
      </c>
      <c r="B170">
        <v>3</v>
      </c>
      <c r="C170">
        <v>96000</v>
      </c>
      <c r="D170">
        <v>218704</v>
      </c>
      <c r="E170">
        <v>96000</v>
      </c>
      <c r="F170">
        <v>96000</v>
      </c>
      <c r="G170" s="1">
        <v>4.2500000000000003E-2</v>
      </c>
      <c r="H170" s="1">
        <v>4.2500000000000003E-2</v>
      </c>
      <c r="I170" s="1">
        <v>4.2500000000000003E-2</v>
      </c>
      <c r="J170" s="1">
        <v>0.4052</v>
      </c>
    </row>
    <row r="171" spans="1:10" x14ac:dyDescent="0.2">
      <c r="A171" t="str">
        <f>"31/12/2025"</f>
        <v>31/12/2025</v>
      </c>
      <c r="B171">
        <v>1</v>
      </c>
      <c r="C171">
        <v>85000</v>
      </c>
      <c r="D171">
        <v>199466</v>
      </c>
      <c r="E171">
        <v>85000</v>
      </c>
      <c r="F171">
        <v>85000</v>
      </c>
      <c r="G171" s="1">
        <v>4.2500000000000003E-2</v>
      </c>
      <c r="H171" s="1">
        <v>4.2500000000000003E-2</v>
      </c>
      <c r="I171" s="1">
        <v>4.2500000000000003E-2</v>
      </c>
      <c r="J171" s="1">
        <v>0.38779999999999998</v>
      </c>
    </row>
    <row r="172" spans="1:10" x14ac:dyDescent="0.2">
      <c r="A172" t="str">
        <f>"30/12/2025"</f>
        <v>30/12/2025</v>
      </c>
      <c r="B172">
        <v>1</v>
      </c>
      <c r="C172">
        <v>79000</v>
      </c>
      <c r="D172">
        <v>185838</v>
      </c>
      <c r="E172">
        <v>79000</v>
      </c>
      <c r="F172">
        <v>79000</v>
      </c>
      <c r="G172" s="1">
        <v>4.2500000000000003E-2</v>
      </c>
      <c r="H172" s="1">
        <v>4.2500000000000003E-2</v>
      </c>
      <c r="I172" s="1">
        <v>4.2500000000000003E-2</v>
      </c>
      <c r="J172" s="1">
        <v>0.37780000000000002</v>
      </c>
    </row>
    <row r="173" spans="1:10" x14ac:dyDescent="0.2">
      <c r="A173" t="str">
        <f>"29/12/2025"</f>
        <v>29/12/2025</v>
      </c>
      <c r="B173">
        <v>1</v>
      </c>
      <c r="C173">
        <v>71000</v>
      </c>
      <c r="D173">
        <v>170369</v>
      </c>
      <c r="E173">
        <v>71000</v>
      </c>
      <c r="F173">
        <v>71000</v>
      </c>
      <c r="G173" s="1">
        <v>4.2500000000000003E-2</v>
      </c>
      <c r="H173" s="1">
        <v>4.2500000000000003E-2</v>
      </c>
      <c r="I173" s="1">
        <v>4.2500000000000003E-2</v>
      </c>
      <c r="J173" s="1">
        <v>0.36580000000000001</v>
      </c>
    </row>
    <row r="174" spans="1:10" x14ac:dyDescent="0.2">
      <c r="A174" t="str">
        <f>"28/12/2025"</f>
        <v>28/12/2025</v>
      </c>
      <c r="B174">
        <v>1</v>
      </c>
      <c r="C174">
        <v>68000</v>
      </c>
      <c r="D174">
        <v>160622</v>
      </c>
      <c r="E174">
        <v>68000</v>
      </c>
      <c r="F174">
        <v>68000</v>
      </c>
      <c r="G174" s="1">
        <v>4.2500000000000003E-2</v>
      </c>
      <c r="H174" s="1">
        <v>4.2500000000000003E-2</v>
      </c>
      <c r="I174" s="1">
        <v>4.2500000000000003E-2</v>
      </c>
      <c r="J174" s="1">
        <v>0.36870000000000003</v>
      </c>
    </row>
    <row r="175" spans="1:10" x14ac:dyDescent="0.2">
      <c r="A175" t="str">
        <f>"25/12/2025"</f>
        <v>25/12/2025</v>
      </c>
      <c r="B175">
        <v>3</v>
      </c>
      <c r="C175">
        <v>72000</v>
      </c>
      <c r="D175">
        <v>170413</v>
      </c>
      <c r="E175">
        <v>72000</v>
      </c>
      <c r="F175">
        <v>72000</v>
      </c>
      <c r="G175" s="1">
        <v>4.2500000000000003E-2</v>
      </c>
      <c r="H175" s="1">
        <v>4.2500000000000003E-2</v>
      </c>
      <c r="I175" s="1">
        <v>4.2500000000000003E-2</v>
      </c>
      <c r="J175" s="1">
        <v>0.374</v>
      </c>
    </row>
    <row r="176" spans="1:10" x14ac:dyDescent="0.2">
      <c r="A176" t="str">
        <f>"24/12/2025"</f>
        <v>24/12/2025</v>
      </c>
      <c r="B176">
        <v>1</v>
      </c>
      <c r="C176">
        <v>70000</v>
      </c>
      <c r="D176">
        <v>164722</v>
      </c>
      <c r="E176">
        <v>70000</v>
      </c>
      <c r="F176">
        <v>70000</v>
      </c>
      <c r="G176" s="1">
        <v>4.2500000000000003E-2</v>
      </c>
      <c r="H176" s="1">
        <v>4.2500000000000003E-2</v>
      </c>
      <c r="I176" s="1">
        <v>4.2500000000000003E-2</v>
      </c>
      <c r="J176" s="1">
        <v>0.36840000000000001</v>
      </c>
    </row>
    <row r="177" spans="1:10" x14ac:dyDescent="0.2">
      <c r="A177" t="str">
        <f>"23/12/2025"</f>
        <v>23/12/2025</v>
      </c>
      <c r="B177">
        <v>1</v>
      </c>
      <c r="C177">
        <v>73000</v>
      </c>
      <c r="D177">
        <v>175915</v>
      </c>
      <c r="E177">
        <v>73000</v>
      </c>
      <c r="F177">
        <v>73000</v>
      </c>
      <c r="G177" s="1">
        <v>4.2500000000000003E-2</v>
      </c>
      <c r="H177" s="1">
        <v>4.2500000000000003E-2</v>
      </c>
      <c r="I177" s="1">
        <v>4.2500000000000003E-2</v>
      </c>
      <c r="J177" s="1">
        <v>0.3548</v>
      </c>
    </row>
    <row r="178" spans="1:10" x14ac:dyDescent="0.2">
      <c r="A178" t="str">
        <f>"22/12/2025"</f>
        <v>22/12/2025</v>
      </c>
      <c r="B178">
        <v>1</v>
      </c>
      <c r="C178">
        <v>67000</v>
      </c>
      <c r="D178">
        <v>152277</v>
      </c>
      <c r="E178">
        <v>67000</v>
      </c>
      <c r="F178">
        <v>67000</v>
      </c>
      <c r="G178" s="1">
        <v>4.2500000000000003E-2</v>
      </c>
      <c r="H178" s="1">
        <v>4.2500000000000003E-2</v>
      </c>
      <c r="I178" s="1">
        <v>4.2500000000000003E-2</v>
      </c>
      <c r="J178" s="1">
        <v>0.37369999999999998</v>
      </c>
    </row>
    <row r="179" spans="1:10" x14ac:dyDescent="0.2">
      <c r="A179" t="str">
        <f>"21/12/2025"</f>
        <v>21/12/2025</v>
      </c>
      <c r="B179">
        <v>1</v>
      </c>
      <c r="C179">
        <v>69000</v>
      </c>
      <c r="D179">
        <v>149948</v>
      </c>
      <c r="E179">
        <v>69000</v>
      </c>
      <c r="F179">
        <v>69000</v>
      </c>
      <c r="G179" s="1">
        <v>4.2500000000000003E-2</v>
      </c>
      <c r="H179" s="1">
        <v>4.2500000000000003E-2</v>
      </c>
      <c r="I179" s="1">
        <v>4.2500000000000003E-2</v>
      </c>
      <c r="J179" s="1">
        <v>0.40279999999999999</v>
      </c>
    </row>
    <row r="180" spans="1:10" x14ac:dyDescent="0.2">
      <c r="A180" t="str">
        <f>"18/12/2025"</f>
        <v>18/12/2025</v>
      </c>
      <c r="B180">
        <v>3</v>
      </c>
      <c r="C180">
        <v>73000</v>
      </c>
      <c r="D180">
        <v>166608</v>
      </c>
      <c r="E180">
        <v>73000</v>
      </c>
      <c r="F180">
        <v>73000</v>
      </c>
      <c r="G180" s="1">
        <v>4.2500000000000003E-2</v>
      </c>
      <c r="H180" s="1">
        <v>4.2500000000000003E-2</v>
      </c>
      <c r="I180" s="1">
        <v>4.2500000000000003E-2</v>
      </c>
      <c r="J180" s="1">
        <v>0.3851</v>
      </c>
    </row>
    <row r="181" spans="1:10" x14ac:dyDescent="0.2">
      <c r="A181" t="str">
        <f>"17/12/2025"</f>
        <v>17/12/2025</v>
      </c>
      <c r="B181">
        <v>1</v>
      </c>
      <c r="C181">
        <v>79000</v>
      </c>
      <c r="D181">
        <v>183932</v>
      </c>
      <c r="E181">
        <v>79000</v>
      </c>
      <c r="F181">
        <v>79000</v>
      </c>
      <c r="G181" s="1">
        <v>4.2500000000000003E-2</v>
      </c>
      <c r="H181" s="1">
        <v>4.2500000000000003E-2</v>
      </c>
      <c r="I181" s="1">
        <v>4.2500000000000003E-2</v>
      </c>
      <c r="J181" s="1">
        <v>0.3836</v>
      </c>
    </row>
    <row r="182" spans="1:10" x14ac:dyDescent="0.2">
      <c r="A182" t="str">
        <f>"16/12/2025"</f>
        <v>16/12/2025</v>
      </c>
      <c r="B182">
        <v>1</v>
      </c>
      <c r="C182">
        <v>82000</v>
      </c>
      <c r="D182">
        <v>198323</v>
      </c>
      <c r="E182">
        <v>82000</v>
      </c>
      <c r="F182">
        <v>82000</v>
      </c>
      <c r="G182" s="1">
        <v>4.2500000000000003E-2</v>
      </c>
      <c r="H182" s="1">
        <v>4.2500000000000003E-2</v>
      </c>
      <c r="I182" s="1">
        <v>4.2500000000000003E-2</v>
      </c>
      <c r="J182" s="1">
        <v>0.36580000000000001</v>
      </c>
    </row>
    <row r="183" spans="1:10" x14ac:dyDescent="0.2">
      <c r="A183" t="str">
        <f>"15/12/2025"</f>
        <v>15/12/2025</v>
      </c>
      <c r="B183">
        <v>1</v>
      </c>
      <c r="C183">
        <v>86000</v>
      </c>
      <c r="D183">
        <v>212740</v>
      </c>
      <c r="E183">
        <v>86000</v>
      </c>
      <c r="F183">
        <v>86000</v>
      </c>
      <c r="G183" s="1">
        <v>4.2500000000000003E-2</v>
      </c>
      <c r="H183" s="1">
        <v>4.2500000000000003E-2</v>
      </c>
      <c r="I183" s="1">
        <v>4.2500000000000003E-2</v>
      </c>
      <c r="J183" s="1">
        <v>0.35599999999999998</v>
      </c>
    </row>
    <row r="184" spans="1:10" x14ac:dyDescent="0.2">
      <c r="A184" t="str">
        <f>"14/12/2025"</f>
        <v>14/12/2025</v>
      </c>
      <c r="B184">
        <v>1</v>
      </c>
      <c r="C184">
        <v>83000</v>
      </c>
      <c r="D184">
        <v>209504</v>
      </c>
      <c r="E184">
        <v>83000</v>
      </c>
      <c r="F184">
        <v>83000</v>
      </c>
      <c r="G184" s="1">
        <v>4.2500000000000003E-2</v>
      </c>
      <c r="H184" s="1">
        <v>4.2500000000000003E-2</v>
      </c>
      <c r="I184" s="1">
        <v>4.2500000000000003E-2</v>
      </c>
      <c r="J184" s="1">
        <v>0.34670000000000001</v>
      </c>
    </row>
    <row r="185" spans="1:10" x14ac:dyDescent="0.2">
      <c r="A185" t="str">
        <f>"11/12/2025"</f>
        <v>11/12/2025</v>
      </c>
      <c r="B185">
        <v>3</v>
      </c>
      <c r="C185">
        <v>83000</v>
      </c>
      <c r="D185">
        <v>176822</v>
      </c>
      <c r="E185">
        <v>83000</v>
      </c>
      <c r="F185">
        <v>83000</v>
      </c>
      <c r="G185" s="1">
        <v>4.2500000000000003E-2</v>
      </c>
      <c r="H185" s="1">
        <v>4.2500000000000003E-2</v>
      </c>
      <c r="I185" s="1">
        <v>4.2500000000000003E-2</v>
      </c>
      <c r="J185" s="1">
        <v>0.42830000000000001</v>
      </c>
    </row>
    <row r="186" spans="1:10" x14ac:dyDescent="0.2">
      <c r="A186" t="str">
        <f>"10/12/2025"</f>
        <v>10/12/2025</v>
      </c>
      <c r="B186">
        <v>1</v>
      </c>
      <c r="C186">
        <v>83000</v>
      </c>
      <c r="D186">
        <v>169070</v>
      </c>
      <c r="E186">
        <v>83000</v>
      </c>
      <c r="F186">
        <v>83000</v>
      </c>
      <c r="G186" s="1">
        <v>4.2500000000000003E-2</v>
      </c>
      <c r="H186" s="1">
        <v>4.2500000000000003E-2</v>
      </c>
      <c r="I186" s="1">
        <v>4.2500000000000003E-2</v>
      </c>
      <c r="J186" s="1">
        <v>0.44690000000000002</v>
      </c>
    </row>
    <row r="187" spans="1:10" x14ac:dyDescent="0.2">
      <c r="A187" t="str">
        <f>"09/12/2025"</f>
        <v>09/12/2025</v>
      </c>
      <c r="B187">
        <v>1</v>
      </c>
      <c r="C187">
        <v>85000</v>
      </c>
      <c r="D187">
        <v>171686</v>
      </c>
      <c r="E187">
        <v>85000</v>
      </c>
      <c r="F187">
        <v>85000</v>
      </c>
      <c r="G187" s="1">
        <v>4.2500000000000003E-2</v>
      </c>
      <c r="H187" s="1">
        <v>4.2500000000000003E-2</v>
      </c>
      <c r="I187" s="1">
        <v>4.2500000000000003E-2</v>
      </c>
      <c r="J187" s="1">
        <v>0.44919999999999999</v>
      </c>
    </row>
    <row r="188" spans="1:10" x14ac:dyDescent="0.2">
      <c r="A188" t="str">
        <f>"08/12/2025"</f>
        <v>08/12/2025</v>
      </c>
      <c r="B188">
        <v>1</v>
      </c>
      <c r="C188">
        <v>89000</v>
      </c>
      <c r="D188">
        <v>195088</v>
      </c>
      <c r="E188">
        <v>89000</v>
      </c>
      <c r="F188">
        <v>89000</v>
      </c>
      <c r="G188" s="1">
        <v>4.2500000000000003E-2</v>
      </c>
      <c r="H188" s="1">
        <v>4.2500000000000003E-2</v>
      </c>
      <c r="I188" s="1">
        <v>4.2500000000000003E-2</v>
      </c>
      <c r="J188" s="1">
        <v>0.41289999999999999</v>
      </c>
    </row>
    <row r="189" spans="1:10" x14ac:dyDescent="0.2">
      <c r="A189" t="str">
        <f>"07/12/2025"</f>
        <v>07/12/2025</v>
      </c>
      <c r="B189">
        <v>1</v>
      </c>
      <c r="C189">
        <v>88000</v>
      </c>
      <c r="D189">
        <v>211654</v>
      </c>
      <c r="E189">
        <v>88000</v>
      </c>
      <c r="F189">
        <v>88000</v>
      </c>
      <c r="G189" s="1">
        <v>4.2500000000000003E-2</v>
      </c>
      <c r="H189" s="1">
        <v>4.2500000000000003E-2</v>
      </c>
      <c r="I189" s="1">
        <v>4.2500000000000003E-2</v>
      </c>
      <c r="J189" s="1">
        <v>0.37040000000000001</v>
      </c>
    </row>
    <row r="190" spans="1:10" x14ac:dyDescent="0.2">
      <c r="A190" t="str">
        <f>"04/12/2025"</f>
        <v>04/12/2025</v>
      </c>
      <c r="B190">
        <v>3</v>
      </c>
      <c r="C190">
        <v>88000</v>
      </c>
      <c r="D190">
        <v>241807</v>
      </c>
      <c r="E190">
        <v>88000</v>
      </c>
      <c r="F190">
        <v>88000</v>
      </c>
      <c r="G190" s="1">
        <v>4.2500000000000003E-2</v>
      </c>
      <c r="H190" s="1">
        <v>4.2500000000000003E-2</v>
      </c>
      <c r="I190" s="1">
        <v>4.2500000000000003E-2</v>
      </c>
      <c r="J190" s="1">
        <v>0.31859999999999999</v>
      </c>
    </row>
    <row r="191" spans="1:10" x14ac:dyDescent="0.2">
      <c r="A191" t="str">
        <f>"03/12/2025"</f>
        <v>03/12/2025</v>
      </c>
      <c r="B191">
        <v>1</v>
      </c>
      <c r="C191">
        <v>89000</v>
      </c>
      <c r="D191">
        <v>263405</v>
      </c>
      <c r="E191">
        <v>89000</v>
      </c>
      <c r="F191">
        <v>89000</v>
      </c>
      <c r="G191" s="1">
        <v>4.2500000000000003E-2</v>
      </c>
      <c r="H191" s="1">
        <v>4.2500000000000003E-2</v>
      </c>
      <c r="I191" s="1">
        <v>4.2500000000000003E-2</v>
      </c>
      <c r="J191" s="1">
        <v>0.2797</v>
      </c>
    </row>
    <row r="192" spans="1:10" x14ac:dyDescent="0.2">
      <c r="A192" t="str">
        <f>"02/12/2025"</f>
        <v>02/12/2025</v>
      </c>
      <c r="B192">
        <v>1</v>
      </c>
      <c r="C192">
        <v>89000</v>
      </c>
      <c r="D192">
        <v>247438</v>
      </c>
      <c r="E192">
        <v>89000</v>
      </c>
      <c r="F192">
        <v>89000</v>
      </c>
      <c r="G192" s="1">
        <v>4.2500000000000003E-2</v>
      </c>
      <c r="H192" s="1">
        <v>4.2500000000000003E-2</v>
      </c>
      <c r="I192" s="1">
        <v>4.2500000000000003E-2</v>
      </c>
      <c r="J192" s="1">
        <v>0.30030000000000001</v>
      </c>
    </row>
    <row r="193" spans="1:10" x14ac:dyDescent="0.2">
      <c r="A193" t="str">
        <f>"01/12/2025"</f>
        <v>01/12/2025</v>
      </c>
      <c r="B193">
        <v>1</v>
      </c>
      <c r="C193">
        <v>93000</v>
      </c>
      <c r="D193">
        <v>247270</v>
      </c>
      <c r="E193">
        <v>93000</v>
      </c>
      <c r="F193">
        <v>93000</v>
      </c>
      <c r="G193" s="1">
        <v>4.2500000000000003E-2</v>
      </c>
      <c r="H193" s="1">
        <v>4.2500000000000003E-2</v>
      </c>
      <c r="I193" s="1">
        <v>4.2500000000000003E-2</v>
      </c>
      <c r="J193" s="1">
        <v>0.31979999999999997</v>
      </c>
    </row>
    <row r="194" spans="1:10" x14ac:dyDescent="0.2">
      <c r="A194" t="str">
        <f>"30/11/2025"</f>
        <v>30/11/2025</v>
      </c>
      <c r="B194">
        <v>1</v>
      </c>
      <c r="C194">
        <v>79000</v>
      </c>
      <c r="D194">
        <v>185695</v>
      </c>
      <c r="E194">
        <v>79000</v>
      </c>
      <c r="F194">
        <v>79000</v>
      </c>
      <c r="G194" s="1">
        <v>4.2500000000000003E-2</v>
      </c>
      <c r="H194" s="1">
        <v>4.2500000000000003E-2</v>
      </c>
      <c r="I194" s="1">
        <v>4.2500000000000003E-2</v>
      </c>
      <c r="J194" s="1">
        <v>0.36770000000000003</v>
      </c>
    </row>
    <row r="195" spans="1:10" x14ac:dyDescent="0.2">
      <c r="A195" t="str">
        <f>"27/11/2025"</f>
        <v>27/11/2025</v>
      </c>
      <c r="B195">
        <v>3</v>
      </c>
      <c r="C195">
        <v>63000</v>
      </c>
      <c r="D195">
        <v>121618</v>
      </c>
      <c r="E195">
        <v>63000</v>
      </c>
      <c r="F195">
        <v>63000</v>
      </c>
      <c r="G195" s="1">
        <v>4.2500000000000003E-2</v>
      </c>
      <c r="H195" s="1">
        <v>4.2500000000000003E-2</v>
      </c>
      <c r="I195" s="1">
        <v>4.2500000000000003E-2</v>
      </c>
      <c r="J195" s="1">
        <v>0.43959999999999999</v>
      </c>
    </row>
    <row r="196" spans="1:10" x14ac:dyDescent="0.2">
      <c r="A196" t="str">
        <f>"26/11/2025"</f>
        <v>26/11/2025</v>
      </c>
      <c r="B196">
        <v>1</v>
      </c>
      <c r="C196">
        <v>60000</v>
      </c>
      <c r="D196">
        <v>54751</v>
      </c>
      <c r="E196">
        <v>54751</v>
      </c>
      <c r="F196">
        <v>54751</v>
      </c>
      <c r="G196" s="1">
        <v>4.4999999999999998E-2</v>
      </c>
      <c r="H196" s="1">
        <v>4.4999999999999998E-2</v>
      </c>
      <c r="I196" s="1">
        <v>4.4999999999999998E-2</v>
      </c>
      <c r="J196" s="1">
        <v>1</v>
      </c>
    </row>
    <row r="197" spans="1:10" x14ac:dyDescent="0.2">
      <c r="A197" t="str">
        <f>"25/11/2025"</f>
        <v>25/11/2025</v>
      </c>
      <c r="B197">
        <v>1</v>
      </c>
      <c r="C197">
        <v>53000</v>
      </c>
      <c r="D197">
        <v>64359</v>
      </c>
      <c r="E197">
        <v>53000</v>
      </c>
      <c r="F197">
        <v>53000</v>
      </c>
      <c r="G197" s="1">
        <v>4.4999999999999998E-2</v>
      </c>
      <c r="H197" s="1">
        <v>4.4999999999999998E-2</v>
      </c>
      <c r="I197" s="1">
        <v>4.4999999999999998E-2</v>
      </c>
      <c r="J197" s="1">
        <v>0.74180000000000001</v>
      </c>
    </row>
    <row r="198" spans="1:10" x14ac:dyDescent="0.2">
      <c r="A198" t="str">
        <f>"24/11/2025"</f>
        <v>24/11/2025</v>
      </c>
      <c r="B198">
        <v>1</v>
      </c>
      <c r="C198">
        <v>64000</v>
      </c>
      <c r="D198">
        <v>105437</v>
      </c>
      <c r="E198">
        <v>64000</v>
      </c>
      <c r="F198">
        <v>64000</v>
      </c>
      <c r="G198" s="1">
        <v>4.4999999999999998E-2</v>
      </c>
      <c r="H198" s="1">
        <v>4.4999999999999998E-2</v>
      </c>
      <c r="I198" s="1">
        <v>4.4999999999999998E-2</v>
      </c>
      <c r="J198" s="1">
        <v>0.52910000000000001</v>
      </c>
    </row>
    <row r="199" spans="1:10" x14ac:dyDescent="0.2">
      <c r="A199" t="str">
        <f>"23/11/2025"</f>
        <v>23/11/2025</v>
      </c>
      <c r="B199">
        <v>1</v>
      </c>
      <c r="C199">
        <v>66000</v>
      </c>
      <c r="D199">
        <v>138856</v>
      </c>
      <c r="E199">
        <v>66000</v>
      </c>
      <c r="F199">
        <v>66000</v>
      </c>
      <c r="G199" s="1">
        <v>4.4999999999999998E-2</v>
      </c>
      <c r="H199" s="1">
        <v>4.4999999999999998E-2</v>
      </c>
      <c r="I199" s="1">
        <v>4.4999999999999998E-2</v>
      </c>
      <c r="J199" s="1">
        <v>0.4244</v>
      </c>
    </row>
    <row r="200" spans="1:10" x14ac:dyDescent="0.2">
      <c r="A200" t="str">
        <f>"20/11/2025"</f>
        <v>20/11/2025</v>
      </c>
      <c r="B200">
        <v>3</v>
      </c>
      <c r="C200">
        <v>67000</v>
      </c>
      <c r="D200">
        <v>168576</v>
      </c>
      <c r="E200">
        <v>67000</v>
      </c>
      <c r="F200">
        <v>67000</v>
      </c>
      <c r="G200" s="1">
        <v>4.4999999999999998E-2</v>
      </c>
      <c r="H200" s="1">
        <v>4.4999999999999998E-2</v>
      </c>
      <c r="I200" s="1">
        <v>4.4999999999999998E-2</v>
      </c>
      <c r="J200" s="1">
        <v>0.35220000000000001</v>
      </c>
    </row>
    <row r="201" spans="1:10" x14ac:dyDescent="0.2">
      <c r="A201" t="str">
        <f>"19/11/2025"</f>
        <v>19/11/2025</v>
      </c>
      <c r="B201">
        <v>1</v>
      </c>
      <c r="C201">
        <v>74000</v>
      </c>
      <c r="D201">
        <v>197377</v>
      </c>
      <c r="E201">
        <v>74000</v>
      </c>
      <c r="F201">
        <v>74000</v>
      </c>
      <c r="G201" s="1">
        <v>4.4999999999999998E-2</v>
      </c>
      <c r="H201" s="1">
        <v>4.4999999999999998E-2</v>
      </c>
      <c r="I201" s="1">
        <v>4.4999999999999998E-2</v>
      </c>
      <c r="J201" s="1">
        <v>0.32640000000000002</v>
      </c>
    </row>
    <row r="202" spans="1:10" x14ac:dyDescent="0.2">
      <c r="A202" t="str">
        <f>"18/11/2025"</f>
        <v>18/11/2025</v>
      </c>
      <c r="B202">
        <v>1</v>
      </c>
      <c r="C202">
        <v>75000</v>
      </c>
      <c r="D202">
        <v>194892</v>
      </c>
      <c r="E202">
        <v>75000</v>
      </c>
      <c r="F202">
        <v>75000</v>
      </c>
      <c r="G202" s="1">
        <v>4.4999999999999998E-2</v>
      </c>
      <c r="H202" s="1">
        <v>4.4999999999999998E-2</v>
      </c>
      <c r="I202" s="1">
        <v>4.4999999999999998E-2</v>
      </c>
      <c r="J202" s="1">
        <v>0.33189999999999997</v>
      </c>
    </row>
    <row r="203" spans="1:10" x14ac:dyDescent="0.2">
      <c r="A203" t="str">
        <f>"17/11/2025"</f>
        <v>17/11/2025</v>
      </c>
      <c r="B203">
        <v>1</v>
      </c>
      <c r="C203">
        <v>82000</v>
      </c>
      <c r="D203">
        <v>209550</v>
      </c>
      <c r="E203">
        <v>82000</v>
      </c>
      <c r="F203">
        <v>82000</v>
      </c>
      <c r="G203" s="1">
        <v>4.4999999999999998E-2</v>
      </c>
      <c r="H203" s="1">
        <v>4.4999999999999998E-2</v>
      </c>
      <c r="I203" s="1">
        <v>4.4999999999999998E-2</v>
      </c>
      <c r="J203" s="1">
        <v>0.34329999999999999</v>
      </c>
    </row>
    <row r="204" spans="1:10" x14ac:dyDescent="0.2">
      <c r="A204" t="str">
        <f>"16/11/2025"</f>
        <v>16/11/2025</v>
      </c>
      <c r="B204">
        <v>1</v>
      </c>
      <c r="C204">
        <v>87000</v>
      </c>
      <c r="D204">
        <v>227285</v>
      </c>
      <c r="E204">
        <v>87000</v>
      </c>
      <c r="F204">
        <v>87000</v>
      </c>
      <c r="G204" s="1">
        <v>4.4999999999999998E-2</v>
      </c>
      <c r="H204" s="1">
        <v>4.4999999999999998E-2</v>
      </c>
      <c r="I204" s="1">
        <v>4.4999999999999998E-2</v>
      </c>
      <c r="J204" s="1">
        <v>0.34200000000000003</v>
      </c>
    </row>
    <row r="205" spans="1:10" x14ac:dyDescent="0.2">
      <c r="A205" t="str">
        <f>"13/11/2025"</f>
        <v>13/11/2025</v>
      </c>
      <c r="B205">
        <v>3</v>
      </c>
      <c r="C205">
        <v>88000</v>
      </c>
      <c r="D205">
        <v>213797</v>
      </c>
      <c r="E205">
        <v>88000</v>
      </c>
      <c r="F205">
        <v>88000</v>
      </c>
      <c r="G205" s="1">
        <v>4.4999999999999998E-2</v>
      </c>
      <c r="H205" s="1">
        <v>4.4999999999999998E-2</v>
      </c>
      <c r="I205" s="1">
        <v>4.4999999999999998E-2</v>
      </c>
      <c r="J205" s="1">
        <v>0.37290000000000001</v>
      </c>
    </row>
    <row r="206" spans="1:10" x14ac:dyDescent="0.2">
      <c r="A206" t="str">
        <f>"12/11/2025"</f>
        <v>12/11/2025</v>
      </c>
      <c r="B206">
        <v>1</v>
      </c>
      <c r="C206">
        <v>91000</v>
      </c>
      <c r="D206">
        <v>211609</v>
      </c>
      <c r="E206">
        <v>91000</v>
      </c>
      <c r="F206">
        <v>91000</v>
      </c>
      <c r="G206" s="1">
        <v>4.4999999999999998E-2</v>
      </c>
      <c r="H206" s="1">
        <v>4.4999999999999998E-2</v>
      </c>
      <c r="I206" s="1">
        <v>4.4999999999999998E-2</v>
      </c>
      <c r="J206" s="1">
        <v>0.3886</v>
      </c>
    </row>
    <row r="207" spans="1:10" x14ac:dyDescent="0.2">
      <c r="A207" t="str">
        <f>"11/11/2025"</f>
        <v>11/11/2025</v>
      </c>
      <c r="B207">
        <v>1</v>
      </c>
      <c r="C207">
        <v>91000</v>
      </c>
      <c r="D207">
        <v>210125</v>
      </c>
      <c r="E207">
        <v>91000</v>
      </c>
      <c r="F207">
        <v>91000</v>
      </c>
      <c r="G207" s="1">
        <v>4.4999999999999998E-2</v>
      </c>
      <c r="H207" s="1">
        <v>4.4999999999999998E-2</v>
      </c>
      <c r="I207" s="1">
        <v>4.4999999999999998E-2</v>
      </c>
      <c r="J207" s="1">
        <v>0.39290000000000003</v>
      </c>
    </row>
    <row r="208" spans="1:10" x14ac:dyDescent="0.2">
      <c r="A208" t="str">
        <f>"10/11/2025"</f>
        <v>10/11/2025</v>
      </c>
      <c r="B208">
        <v>1</v>
      </c>
      <c r="C208">
        <v>91000</v>
      </c>
      <c r="D208">
        <v>211684</v>
      </c>
      <c r="E208">
        <v>91000</v>
      </c>
      <c r="F208">
        <v>91000</v>
      </c>
      <c r="G208" s="1">
        <v>4.4999999999999998E-2</v>
      </c>
      <c r="H208" s="1">
        <v>4.4999999999999998E-2</v>
      </c>
      <c r="I208" s="1">
        <v>4.4999999999999998E-2</v>
      </c>
      <c r="J208" s="1">
        <v>0.39119999999999999</v>
      </c>
    </row>
    <row r="209" spans="1:10" x14ac:dyDescent="0.2">
      <c r="A209" t="str">
        <f>"09/11/2025"</f>
        <v>09/11/2025</v>
      </c>
      <c r="B209">
        <v>1</v>
      </c>
      <c r="C209">
        <v>91000</v>
      </c>
      <c r="D209">
        <v>210716</v>
      </c>
      <c r="E209">
        <v>91000</v>
      </c>
      <c r="F209">
        <v>91000</v>
      </c>
      <c r="G209" s="1">
        <v>4.4999999999999998E-2</v>
      </c>
      <c r="H209" s="1">
        <v>4.4999999999999998E-2</v>
      </c>
      <c r="I209" s="1">
        <v>4.4999999999999998E-2</v>
      </c>
      <c r="J209" s="1">
        <v>0.39429999999999998</v>
      </c>
    </row>
    <row r="210" spans="1:10" x14ac:dyDescent="0.2">
      <c r="A210" t="str">
        <f>"06/11/2025"</f>
        <v>06/11/2025</v>
      </c>
      <c r="B210">
        <v>3</v>
      </c>
      <c r="C210">
        <v>91000</v>
      </c>
      <c r="D210">
        <v>196011</v>
      </c>
      <c r="E210">
        <v>91000</v>
      </c>
      <c r="F210">
        <v>91000</v>
      </c>
      <c r="G210" s="1">
        <v>4.4999999999999998E-2</v>
      </c>
      <c r="H210" s="1">
        <v>4.4999999999999998E-2</v>
      </c>
      <c r="I210" s="1">
        <v>4.4999999999999998E-2</v>
      </c>
      <c r="J210" s="1">
        <v>0.42759999999999998</v>
      </c>
    </row>
    <row r="211" spans="1:10" x14ac:dyDescent="0.2">
      <c r="A211" t="str">
        <f>"05/11/2025"</f>
        <v>05/11/2025</v>
      </c>
      <c r="B211">
        <v>1</v>
      </c>
      <c r="C211">
        <v>93000</v>
      </c>
      <c r="D211">
        <v>208129</v>
      </c>
      <c r="E211">
        <v>93000</v>
      </c>
      <c r="F211">
        <v>93000</v>
      </c>
      <c r="G211" s="1">
        <v>4.4999999999999998E-2</v>
      </c>
      <c r="H211" s="1">
        <v>4.4999999999999998E-2</v>
      </c>
      <c r="I211" s="1">
        <v>4.4999999999999998E-2</v>
      </c>
      <c r="J211" s="1">
        <v>0.40749999999999997</v>
      </c>
    </row>
    <row r="212" spans="1:10" x14ac:dyDescent="0.2">
      <c r="A212" t="str">
        <f>"04/11/2025"</f>
        <v>04/11/2025</v>
      </c>
      <c r="B212">
        <v>1</v>
      </c>
      <c r="C212">
        <v>93000</v>
      </c>
      <c r="D212">
        <v>232572</v>
      </c>
      <c r="E212">
        <v>93000</v>
      </c>
      <c r="F212">
        <v>93000</v>
      </c>
      <c r="G212" s="1">
        <v>4.4999999999999998E-2</v>
      </c>
      <c r="H212" s="1">
        <v>4.4999999999999998E-2</v>
      </c>
      <c r="I212" s="1">
        <v>4.4999999999999998E-2</v>
      </c>
      <c r="J212" s="1">
        <v>0.36220000000000002</v>
      </c>
    </row>
    <row r="213" spans="1:10" x14ac:dyDescent="0.2">
      <c r="A213" t="str">
        <f>"03/11/2025"</f>
        <v>03/11/2025</v>
      </c>
      <c r="B213">
        <v>1</v>
      </c>
      <c r="C213">
        <v>93000</v>
      </c>
      <c r="D213">
        <v>246531</v>
      </c>
      <c r="E213">
        <v>93000</v>
      </c>
      <c r="F213">
        <v>93000</v>
      </c>
      <c r="G213" s="1">
        <v>4.4999999999999998E-2</v>
      </c>
      <c r="H213" s="1">
        <v>4.4999999999999998E-2</v>
      </c>
      <c r="I213" s="1">
        <v>4.4999999999999998E-2</v>
      </c>
      <c r="J213" s="1">
        <v>0.34039999999999998</v>
      </c>
    </row>
    <row r="214" spans="1:10" x14ac:dyDescent="0.2">
      <c r="A214" t="str">
        <f>"02/11/2025"</f>
        <v>02/11/2025</v>
      </c>
      <c r="B214">
        <v>1</v>
      </c>
      <c r="C214">
        <v>93000</v>
      </c>
      <c r="D214">
        <v>253110</v>
      </c>
      <c r="E214">
        <v>93000</v>
      </c>
      <c r="F214">
        <v>93000</v>
      </c>
      <c r="G214" s="1">
        <v>4.4999999999999998E-2</v>
      </c>
      <c r="H214" s="1">
        <v>4.4999999999999998E-2</v>
      </c>
      <c r="I214" s="1">
        <v>4.4999999999999998E-2</v>
      </c>
      <c r="J214" s="1">
        <v>0.3337</v>
      </c>
    </row>
    <row r="215" spans="1:10" x14ac:dyDescent="0.2">
      <c r="A215" t="str">
        <f>"30/10/2025"</f>
        <v>30/10/2025</v>
      </c>
      <c r="B215">
        <v>3</v>
      </c>
      <c r="C215">
        <v>73000</v>
      </c>
      <c r="D215">
        <v>195122</v>
      </c>
      <c r="E215">
        <v>73000</v>
      </c>
      <c r="F215">
        <v>73000</v>
      </c>
      <c r="G215" s="1">
        <v>4.4999999999999998E-2</v>
      </c>
      <c r="H215" s="1">
        <v>4.4999999999999998E-2</v>
      </c>
      <c r="I215" s="1">
        <v>4.4999999999999998E-2</v>
      </c>
      <c r="J215" s="1">
        <v>0.32719999999999999</v>
      </c>
    </row>
    <row r="216" spans="1:10" x14ac:dyDescent="0.2">
      <c r="A216" t="str">
        <f>"29/10/2025"</f>
        <v>29/10/2025</v>
      </c>
      <c r="B216">
        <v>1</v>
      </c>
      <c r="C216">
        <v>65000</v>
      </c>
      <c r="D216">
        <v>179671</v>
      </c>
      <c r="E216">
        <v>65000</v>
      </c>
      <c r="F216">
        <v>65000</v>
      </c>
      <c r="G216" s="1">
        <v>4.4999999999999998E-2</v>
      </c>
      <c r="H216" s="1">
        <v>4.4999999999999998E-2</v>
      </c>
      <c r="I216" s="1">
        <v>4.4999999999999998E-2</v>
      </c>
      <c r="J216" s="1">
        <v>0.31190000000000001</v>
      </c>
    </row>
    <row r="217" spans="1:10" x14ac:dyDescent="0.2">
      <c r="A217" t="str">
        <f>"28/10/2025"</f>
        <v>28/10/2025</v>
      </c>
      <c r="B217">
        <v>1</v>
      </c>
      <c r="C217">
        <v>64000</v>
      </c>
      <c r="D217">
        <v>161112</v>
      </c>
      <c r="E217">
        <v>64000</v>
      </c>
      <c r="F217">
        <v>64000</v>
      </c>
      <c r="G217" s="1">
        <v>4.4999999999999998E-2</v>
      </c>
      <c r="H217" s="1">
        <v>4.4999999999999998E-2</v>
      </c>
      <c r="I217" s="1">
        <v>4.4999999999999998E-2</v>
      </c>
      <c r="J217" s="1">
        <v>0.34520000000000001</v>
      </c>
    </row>
    <row r="218" spans="1:10" x14ac:dyDescent="0.2">
      <c r="A218" t="str">
        <f>"27/10/2025"</f>
        <v>27/10/2025</v>
      </c>
      <c r="B218">
        <v>1</v>
      </c>
      <c r="C218">
        <v>58000</v>
      </c>
      <c r="D218">
        <v>132891</v>
      </c>
      <c r="E218">
        <v>58000</v>
      </c>
      <c r="F218">
        <v>58000</v>
      </c>
      <c r="G218" s="1">
        <v>4.4999999999999998E-2</v>
      </c>
      <c r="H218" s="1">
        <v>4.4999999999999998E-2</v>
      </c>
      <c r="I218" s="1">
        <v>4.4999999999999998E-2</v>
      </c>
      <c r="J218" s="1">
        <v>0.37880000000000003</v>
      </c>
    </row>
    <row r="219" spans="1:10" x14ac:dyDescent="0.2">
      <c r="A219" t="str">
        <f>"26/10/2025"</f>
        <v>26/10/2025</v>
      </c>
      <c r="B219">
        <v>1</v>
      </c>
      <c r="C219">
        <v>57000</v>
      </c>
      <c r="D219">
        <v>131527</v>
      </c>
      <c r="E219">
        <v>57000</v>
      </c>
      <c r="F219">
        <v>57000</v>
      </c>
      <c r="G219" s="1">
        <v>4.4999999999999998E-2</v>
      </c>
      <c r="H219" s="1">
        <v>4.4999999999999998E-2</v>
      </c>
      <c r="I219" s="1">
        <v>4.4999999999999998E-2</v>
      </c>
      <c r="J219" s="1">
        <v>0.37909999999999999</v>
      </c>
    </row>
    <row r="220" spans="1:10" x14ac:dyDescent="0.2">
      <c r="A220" t="str">
        <f>"23/10/2025"</f>
        <v>23/10/2025</v>
      </c>
      <c r="B220">
        <v>3</v>
      </c>
      <c r="C220">
        <v>69000</v>
      </c>
      <c r="D220">
        <v>174116</v>
      </c>
      <c r="E220">
        <v>69000</v>
      </c>
      <c r="F220">
        <v>69000</v>
      </c>
      <c r="G220" s="1">
        <v>4.4999999999999998E-2</v>
      </c>
      <c r="H220" s="1">
        <v>4.4999999999999998E-2</v>
      </c>
      <c r="I220" s="1">
        <v>4.4999999999999998E-2</v>
      </c>
      <c r="J220" s="1">
        <v>0.3548</v>
      </c>
    </row>
    <row r="221" spans="1:10" x14ac:dyDescent="0.2">
      <c r="A221" t="str">
        <f>"22/10/2025"</f>
        <v>22/10/2025</v>
      </c>
      <c r="B221">
        <v>1</v>
      </c>
      <c r="C221">
        <v>75000</v>
      </c>
      <c r="D221">
        <v>189709</v>
      </c>
      <c r="E221">
        <v>75000</v>
      </c>
      <c r="F221">
        <v>75000</v>
      </c>
      <c r="G221" s="1">
        <v>4.4999999999999998E-2</v>
      </c>
      <c r="H221" s="1">
        <v>4.4999999999999998E-2</v>
      </c>
      <c r="I221" s="1">
        <v>4.4999999999999998E-2</v>
      </c>
      <c r="J221" s="1">
        <v>0.3523</v>
      </c>
    </row>
    <row r="222" spans="1:10" x14ac:dyDescent="0.2">
      <c r="A222" t="str">
        <f>"21/10/2025"</f>
        <v>21/10/2025</v>
      </c>
      <c r="B222">
        <v>1</v>
      </c>
      <c r="C222">
        <v>70000</v>
      </c>
      <c r="D222">
        <v>171052</v>
      </c>
      <c r="E222">
        <v>70000</v>
      </c>
      <c r="F222">
        <v>70000</v>
      </c>
      <c r="G222" s="1">
        <v>4.4999999999999998E-2</v>
      </c>
      <c r="H222" s="1">
        <v>4.4999999999999998E-2</v>
      </c>
      <c r="I222" s="1">
        <v>4.4999999999999998E-2</v>
      </c>
      <c r="J222" s="1">
        <v>0.3609</v>
      </c>
    </row>
    <row r="223" spans="1:10" x14ac:dyDescent="0.2">
      <c r="A223" t="str">
        <f>"20/10/2025"</f>
        <v>20/10/2025</v>
      </c>
      <c r="B223">
        <v>1</v>
      </c>
      <c r="C223">
        <v>72000</v>
      </c>
      <c r="D223">
        <v>182016</v>
      </c>
      <c r="E223">
        <v>72000</v>
      </c>
      <c r="F223">
        <v>72000</v>
      </c>
      <c r="G223" s="1">
        <v>4.4999999999999998E-2</v>
      </c>
      <c r="H223" s="1">
        <v>4.4999999999999998E-2</v>
      </c>
      <c r="I223" s="1">
        <v>4.4999999999999998E-2</v>
      </c>
      <c r="J223" s="1">
        <v>0.35170000000000001</v>
      </c>
    </row>
    <row r="224" spans="1:10" x14ac:dyDescent="0.2">
      <c r="A224" t="str">
        <f>"19/10/2025"</f>
        <v>19/10/2025</v>
      </c>
      <c r="B224">
        <v>1</v>
      </c>
      <c r="C224">
        <v>75000</v>
      </c>
      <c r="D224">
        <v>216921</v>
      </c>
      <c r="E224">
        <v>75000</v>
      </c>
      <c r="F224">
        <v>75000</v>
      </c>
      <c r="G224" s="1">
        <v>4.4999999999999998E-2</v>
      </c>
      <c r="H224" s="1">
        <v>4.4999999999999998E-2</v>
      </c>
      <c r="I224" s="1">
        <v>4.4999999999999998E-2</v>
      </c>
      <c r="J224" s="1">
        <v>0.30819999999999997</v>
      </c>
    </row>
    <row r="225" spans="1:10" x14ac:dyDescent="0.2">
      <c r="A225" t="str">
        <f>"16/10/2025"</f>
        <v>16/10/2025</v>
      </c>
      <c r="B225">
        <v>3</v>
      </c>
      <c r="C225">
        <v>76000</v>
      </c>
      <c r="D225">
        <v>214185</v>
      </c>
      <c r="E225">
        <v>76000</v>
      </c>
      <c r="F225">
        <v>76000</v>
      </c>
      <c r="G225" s="1">
        <v>4.4999999999999998E-2</v>
      </c>
      <c r="H225" s="1">
        <v>4.4999999999999998E-2</v>
      </c>
      <c r="I225" s="1">
        <v>4.4999999999999998E-2</v>
      </c>
      <c r="J225" s="1">
        <v>0.30249999999999999</v>
      </c>
    </row>
    <row r="226" spans="1:10" x14ac:dyDescent="0.2">
      <c r="A226" t="str">
        <f>"15/10/2025"</f>
        <v>15/10/2025</v>
      </c>
      <c r="B226">
        <v>1</v>
      </c>
      <c r="C226">
        <v>78000</v>
      </c>
      <c r="D226">
        <v>234649</v>
      </c>
      <c r="E226">
        <v>78000</v>
      </c>
      <c r="F226">
        <v>78000</v>
      </c>
      <c r="G226" s="1">
        <v>4.4999999999999998E-2</v>
      </c>
      <c r="H226" s="1">
        <v>4.4999999999999998E-2</v>
      </c>
      <c r="I226" s="1">
        <v>4.4999999999999998E-2</v>
      </c>
      <c r="J226" s="1">
        <v>0.27829999999999999</v>
      </c>
    </row>
    <row r="227" spans="1:10" x14ac:dyDescent="0.2">
      <c r="A227" t="str">
        <f>"12/10/2025"</f>
        <v>12/10/2025</v>
      </c>
      <c r="B227">
        <v>3</v>
      </c>
      <c r="C227">
        <v>78000</v>
      </c>
      <c r="D227">
        <v>231826</v>
      </c>
      <c r="E227">
        <v>78000</v>
      </c>
      <c r="F227">
        <v>78000</v>
      </c>
      <c r="G227" s="1">
        <v>4.4999999999999998E-2</v>
      </c>
      <c r="H227" s="1">
        <v>4.4999999999999998E-2</v>
      </c>
      <c r="I227" s="1">
        <v>4.4999999999999998E-2</v>
      </c>
      <c r="J227" s="1">
        <v>0.29430000000000001</v>
      </c>
    </row>
    <row r="228" spans="1:10" x14ac:dyDescent="0.2">
      <c r="A228" t="str">
        <f>"09/10/2025"</f>
        <v>09/10/2025</v>
      </c>
      <c r="B228">
        <v>3</v>
      </c>
      <c r="C228">
        <v>78000</v>
      </c>
      <c r="D228">
        <v>213426</v>
      </c>
      <c r="E228">
        <v>78000</v>
      </c>
      <c r="F228">
        <v>78000</v>
      </c>
      <c r="G228" s="1">
        <v>4.4999999999999998E-2</v>
      </c>
      <c r="H228" s="1">
        <v>4.4999999999999998E-2</v>
      </c>
      <c r="I228" s="1">
        <v>4.4999999999999998E-2</v>
      </c>
      <c r="J228" s="1">
        <v>0.33189999999999997</v>
      </c>
    </row>
    <row r="229" spans="1:10" x14ac:dyDescent="0.2">
      <c r="A229" t="str">
        <f>"08/10/2025"</f>
        <v>08/10/2025</v>
      </c>
      <c r="B229">
        <v>1</v>
      </c>
      <c r="C229">
        <v>78000</v>
      </c>
      <c r="D229">
        <v>201972</v>
      </c>
      <c r="E229">
        <v>78000</v>
      </c>
      <c r="F229">
        <v>78000</v>
      </c>
      <c r="G229" s="1">
        <v>4.4999999999999998E-2</v>
      </c>
      <c r="H229" s="1">
        <v>4.4999999999999998E-2</v>
      </c>
      <c r="I229" s="1">
        <v>4.4999999999999998E-2</v>
      </c>
      <c r="J229" s="1">
        <v>0.35780000000000001</v>
      </c>
    </row>
    <row r="230" spans="1:10" x14ac:dyDescent="0.2">
      <c r="A230" t="str">
        <f>"05/10/2025"</f>
        <v>05/10/2025</v>
      </c>
      <c r="B230">
        <v>3</v>
      </c>
      <c r="C230">
        <v>75000</v>
      </c>
      <c r="D230">
        <v>150640</v>
      </c>
      <c r="E230">
        <v>75000</v>
      </c>
      <c r="F230">
        <v>75000</v>
      </c>
      <c r="G230" s="1">
        <v>4.4999999999999998E-2</v>
      </c>
      <c r="H230" s="1">
        <v>4.4999999999999998E-2</v>
      </c>
      <c r="I230" s="1">
        <v>4.4999999999999998E-2</v>
      </c>
      <c r="J230" s="1">
        <v>0.46500000000000002</v>
      </c>
    </row>
    <row r="231" spans="1:10" x14ac:dyDescent="0.2">
      <c r="A231" t="str">
        <f>"03/10/2025"</f>
        <v>03/10/2025</v>
      </c>
      <c r="B231">
        <v>2</v>
      </c>
      <c r="C231">
        <v>18000</v>
      </c>
      <c r="D231">
        <v>23004</v>
      </c>
      <c r="E231">
        <v>18000</v>
      </c>
      <c r="F231">
        <v>18000</v>
      </c>
      <c r="G231" s="1">
        <v>4.4999999999999998E-2</v>
      </c>
      <c r="H231" s="1">
        <v>4.4999999999999998E-2</v>
      </c>
      <c r="I231" s="1">
        <v>4.4999999999999998E-2</v>
      </c>
      <c r="J231" s="1">
        <v>0.72109999999999996</v>
      </c>
    </row>
    <row r="232" spans="1:10" x14ac:dyDescent="0.2">
      <c r="A232" t="str">
        <f>"30/09/2025"</f>
        <v>30/09/2025</v>
      </c>
      <c r="B232">
        <v>5</v>
      </c>
      <c r="C232">
        <v>61000</v>
      </c>
      <c r="D232">
        <v>67728</v>
      </c>
      <c r="E232">
        <v>61000</v>
      </c>
      <c r="F232">
        <v>61000</v>
      </c>
      <c r="G232" s="1">
        <v>4.4999999999999998E-2</v>
      </c>
      <c r="H232" s="1">
        <v>4.4999999999999998E-2</v>
      </c>
      <c r="I232" s="1">
        <v>4.4999999999999998E-2</v>
      </c>
      <c r="J232" s="1">
        <v>0.87480000000000002</v>
      </c>
    </row>
    <row r="233" spans="1:10" x14ac:dyDescent="0.2">
      <c r="A233" t="str">
        <f>"29/09/2025"</f>
        <v>29/09/2025</v>
      </c>
      <c r="B233">
        <v>1</v>
      </c>
      <c r="C233">
        <v>51000</v>
      </c>
      <c r="D233">
        <v>52057</v>
      </c>
      <c r="E233">
        <v>51000</v>
      </c>
      <c r="F233">
        <v>51000</v>
      </c>
      <c r="G233" s="1">
        <v>4.4999999999999998E-2</v>
      </c>
      <c r="H233" s="1">
        <v>4.4999999999999998E-2</v>
      </c>
      <c r="I233" s="1">
        <v>4.4999999999999998E-2</v>
      </c>
      <c r="J233" s="1">
        <v>0.9698</v>
      </c>
    </row>
    <row r="234" spans="1:10" x14ac:dyDescent="0.2">
      <c r="A234" t="str">
        <f>"28/09/2025"</f>
        <v>28/09/2025</v>
      </c>
      <c r="B234">
        <v>1</v>
      </c>
      <c r="C234">
        <v>53000</v>
      </c>
      <c r="D234">
        <v>81344</v>
      </c>
      <c r="E234">
        <v>53000</v>
      </c>
      <c r="F234">
        <v>53000</v>
      </c>
      <c r="G234" s="1">
        <v>4.4999999999999998E-2</v>
      </c>
      <c r="H234" s="1">
        <v>4.4999999999999998E-2</v>
      </c>
      <c r="I234" s="1">
        <v>4.4999999999999998E-2</v>
      </c>
      <c r="J234" s="1">
        <v>0.60899999999999999</v>
      </c>
    </row>
    <row r="235" spans="1:10" x14ac:dyDescent="0.2">
      <c r="A235" t="str">
        <f>"25/09/2025"</f>
        <v>25/09/2025</v>
      </c>
      <c r="B235">
        <v>3</v>
      </c>
      <c r="C235">
        <v>68000</v>
      </c>
      <c r="D235">
        <v>124136</v>
      </c>
      <c r="E235">
        <v>68000</v>
      </c>
      <c r="F235">
        <v>68000</v>
      </c>
      <c r="G235" s="1">
        <v>4.4999999999999998E-2</v>
      </c>
      <c r="H235" s="1">
        <v>4.4999999999999998E-2</v>
      </c>
      <c r="I235" s="1">
        <v>4.4999999999999998E-2</v>
      </c>
      <c r="J235" s="1">
        <v>0.49880000000000002</v>
      </c>
    </row>
    <row r="236" spans="1:10" x14ac:dyDescent="0.2">
      <c r="A236" t="str">
        <f>"21/09/2025"</f>
        <v>21/09/2025</v>
      </c>
      <c r="B236">
        <v>4</v>
      </c>
      <c r="C236">
        <v>69000</v>
      </c>
      <c r="D236">
        <v>147524</v>
      </c>
      <c r="E236">
        <v>69000</v>
      </c>
      <c r="F236">
        <v>69000</v>
      </c>
      <c r="G236" s="1">
        <v>4.4999999999999998E-2</v>
      </c>
      <c r="H236" s="1">
        <v>4.4999999999999998E-2</v>
      </c>
      <c r="I236" s="1">
        <v>4.4999999999999998E-2</v>
      </c>
      <c r="J236" s="1">
        <v>0.42949999999999999</v>
      </c>
    </row>
    <row r="237" spans="1:10" x14ac:dyDescent="0.2">
      <c r="A237" t="str">
        <f>"18/09/2025"</f>
        <v>18/09/2025</v>
      </c>
      <c r="B237">
        <v>3</v>
      </c>
      <c r="C237">
        <v>70000</v>
      </c>
      <c r="D237">
        <v>150772</v>
      </c>
      <c r="E237">
        <v>70000</v>
      </c>
      <c r="F237">
        <v>70000</v>
      </c>
      <c r="G237" s="1">
        <v>4.4999999999999998E-2</v>
      </c>
      <c r="H237" s="1">
        <v>4.4999999999999998E-2</v>
      </c>
      <c r="I237" s="1">
        <v>4.4999999999999998E-2</v>
      </c>
      <c r="J237" s="1">
        <v>0.42459999999999998</v>
      </c>
    </row>
    <row r="238" spans="1:10" x14ac:dyDescent="0.2">
      <c r="A238" t="str">
        <f>"17/09/2025"</f>
        <v>17/09/2025</v>
      </c>
      <c r="B238">
        <v>1</v>
      </c>
      <c r="C238">
        <v>72000</v>
      </c>
      <c r="D238">
        <v>156127</v>
      </c>
      <c r="E238">
        <v>72000</v>
      </c>
      <c r="F238">
        <v>72000</v>
      </c>
      <c r="G238" s="1">
        <v>4.4999999999999998E-2</v>
      </c>
      <c r="H238" s="1">
        <v>4.4999999999999998E-2</v>
      </c>
      <c r="I238" s="1">
        <v>4.4999999999999998E-2</v>
      </c>
      <c r="J238" s="1">
        <v>0.41930000000000001</v>
      </c>
    </row>
    <row r="239" spans="1:10" x14ac:dyDescent="0.2">
      <c r="A239" t="str">
        <f>"16/09/2025"</f>
        <v>16/09/2025</v>
      </c>
      <c r="B239">
        <v>1</v>
      </c>
      <c r="C239">
        <v>75000</v>
      </c>
      <c r="D239">
        <v>162665</v>
      </c>
      <c r="E239">
        <v>75000</v>
      </c>
      <c r="F239">
        <v>75000</v>
      </c>
      <c r="G239" s="1">
        <v>4.4999999999999998E-2</v>
      </c>
      <c r="H239" s="1">
        <v>4.4999999999999998E-2</v>
      </c>
      <c r="I239" s="1">
        <v>4.4999999999999998E-2</v>
      </c>
      <c r="J239" s="1">
        <v>0.42709999999999998</v>
      </c>
    </row>
    <row r="240" spans="1:10" x14ac:dyDescent="0.2">
      <c r="A240" t="str">
        <f>"15/09/2025"</f>
        <v>15/09/2025</v>
      </c>
      <c r="B240">
        <v>1</v>
      </c>
      <c r="C240">
        <v>85000</v>
      </c>
      <c r="D240">
        <v>185652</v>
      </c>
      <c r="E240">
        <v>85000</v>
      </c>
      <c r="F240">
        <v>85000</v>
      </c>
      <c r="G240" s="1">
        <v>4.4999999999999998E-2</v>
      </c>
      <c r="H240" s="1">
        <v>4.4999999999999998E-2</v>
      </c>
      <c r="I240" s="1">
        <v>4.4999999999999998E-2</v>
      </c>
      <c r="J240" s="1">
        <v>0.42</v>
      </c>
    </row>
    <row r="241" spans="1:10" x14ac:dyDescent="0.2">
      <c r="A241" t="str">
        <f>"14/09/2025"</f>
        <v>14/09/2025</v>
      </c>
      <c r="B241">
        <v>1</v>
      </c>
      <c r="C241">
        <v>85000</v>
      </c>
      <c r="D241">
        <v>191705</v>
      </c>
      <c r="E241">
        <v>85000</v>
      </c>
      <c r="F241">
        <v>85000</v>
      </c>
      <c r="G241" s="1">
        <v>4.4999999999999998E-2</v>
      </c>
      <c r="H241" s="1">
        <v>4.4999999999999998E-2</v>
      </c>
      <c r="I241" s="1">
        <v>4.4999999999999998E-2</v>
      </c>
      <c r="J241" s="1">
        <v>0.40579999999999999</v>
      </c>
    </row>
    <row r="242" spans="1:10" x14ac:dyDescent="0.2">
      <c r="A242" t="str">
        <f>"11/09/2025"</f>
        <v>11/09/2025</v>
      </c>
      <c r="B242">
        <v>3</v>
      </c>
      <c r="C242">
        <v>88000</v>
      </c>
      <c r="D242">
        <v>198576</v>
      </c>
      <c r="E242">
        <v>88000</v>
      </c>
      <c r="F242">
        <v>88000</v>
      </c>
      <c r="G242" s="1">
        <v>4.4999999999999998E-2</v>
      </c>
      <c r="H242" s="1">
        <v>4.4999999999999998E-2</v>
      </c>
      <c r="I242" s="1">
        <v>4.4999999999999998E-2</v>
      </c>
      <c r="J242" s="1">
        <v>0.41260000000000002</v>
      </c>
    </row>
    <row r="243" spans="1:10" x14ac:dyDescent="0.2">
      <c r="A243" t="str">
        <f>"10/09/2025"</f>
        <v>10/09/2025</v>
      </c>
      <c r="B243">
        <v>1</v>
      </c>
      <c r="C243">
        <v>89000</v>
      </c>
      <c r="D243">
        <v>212263</v>
      </c>
      <c r="E243">
        <v>89000</v>
      </c>
      <c r="F243">
        <v>89000</v>
      </c>
      <c r="G243" s="1">
        <v>4.4999999999999998E-2</v>
      </c>
      <c r="H243" s="1">
        <v>4.4999999999999998E-2</v>
      </c>
      <c r="I243" s="1">
        <v>4.4999999999999998E-2</v>
      </c>
      <c r="J243" s="1">
        <v>0.38919999999999999</v>
      </c>
    </row>
    <row r="244" spans="1:10" x14ac:dyDescent="0.2">
      <c r="A244" t="str">
        <f>"09/09/2025"</f>
        <v>09/09/2025</v>
      </c>
      <c r="B244">
        <v>1</v>
      </c>
      <c r="C244">
        <v>89000</v>
      </c>
      <c r="D244">
        <v>205012</v>
      </c>
      <c r="E244">
        <v>89000</v>
      </c>
      <c r="F244">
        <v>89000</v>
      </c>
      <c r="G244" s="1">
        <v>4.4999999999999998E-2</v>
      </c>
      <c r="H244" s="1">
        <v>4.4999999999999998E-2</v>
      </c>
      <c r="I244" s="1">
        <v>4.4999999999999998E-2</v>
      </c>
      <c r="J244" s="1">
        <v>0.39610000000000001</v>
      </c>
    </row>
    <row r="245" spans="1:10" x14ac:dyDescent="0.2">
      <c r="A245" t="str">
        <f>"08/09/2025"</f>
        <v>08/09/2025</v>
      </c>
      <c r="B245">
        <v>1</v>
      </c>
      <c r="C245">
        <v>92000</v>
      </c>
      <c r="D245">
        <v>235816</v>
      </c>
      <c r="E245">
        <v>92000</v>
      </c>
      <c r="F245">
        <v>92000</v>
      </c>
      <c r="G245" s="1">
        <v>4.4999999999999998E-2</v>
      </c>
      <c r="H245" s="1">
        <v>4.4999999999999998E-2</v>
      </c>
      <c r="I245" s="1">
        <v>4.4999999999999998E-2</v>
      </c>
      <c r="J245" s="1">
        <v>0.35349999999999998</v>
      </c>
    </row>
    <row r="246" spans="1:10" x14ac:dyDescent="0.2">
      <c r="A246" t="str">
        <f>"07/09/2025"</f>
        <v>07/09/2025</v>
      </c>
      <c r="B246">
        <v>1</v>
      </c>
      <c r="C246">
        <v>91000</v>
      </c>
      <c r="D246">
        <v>245702</v>
      </c>
      <c r="E246">
        <v>91000</v>
      </c>
      <c r="F246">
        <v>91000</v>
      </c>
      <c r="G246" s="1">
        <v>4.4999999999999998E-2</v>
      </c>
      <c r="H246" s="1">
        <v>4.4999999999999998E-2</v>
      </c>
      <c r="I246" s="1">
        <v>4.4999999999999998E-2</v>
      </c>
      <c r="J246" s="1">
        <v>0.33460000000000001</v>
      </c>
    </row>
    <row r="247" spans="1:10" x14ac:dyDescent="0.2">
      <c r="A247" t="str">
        <f>"04/09/2025"</f>
        <v>04/09/2025</v>
      </c>
      <c r="B247">
        <v>3</v>
      </c>
      <c r="C247">
        <v>91000</v>
      </c>
      <c r="D247">
        <v>230486</v>
      </c>
      <c r="E247">
        <v>91000</v>
      </c>
      <c r="F247">
        <v>91000</v>
      </c>
      <c r="G247" s="1">
        <v>4.4999999999999998E-2</v>
      </c>
      <c r="H247" s="1">
        <v>4.4999999999999998E-2</v>
      </c>
      <c r="I247" s="1">
        <v>4.4999999999999998E-2</v>
      </c>
      <c r="J247" s="1">
        <v>0.36330000000000001</v>
      </c>
    </row>
    <row r="248" spans="1:10" x14ac:dyDescent="0.2">
      <c r="A248" t="str">
        <f>"03/09/2025"</f>
        <v>03/09/2025</v>
      </c>
      <c r="B248">
        <v>1</v>
      </c>
      <c r="C248">
        <v>100000</v>
      </c>
      <c r="D248">
        <v>275180</v>
      </c>
      <c r="E248">
        <v>100000</v>
      </c>
      <c r="F248">
        <v>100000</v>
      </c>
      <c r="G248" s="1">
        <v>4.4999999999999998E-2</v>
      </c>
      <c r="H248" s="1">
        <v>4.4999999999999998E-2</v>
      </c>
      <c r="I248" s="1">
        <v>4.4999999999999998E-2</v>
      </c>
      <c r="J248" s="1">
        <v>0.33189999999999997</v>
      </c>
    </row>
    <row r="249" spans="1:10" x14ac:dyDescent="0.2">
      <c r="A249" t="str">
        <f>"02/09/2025"</f>
        <v>02/09/2025</v>
      </c>
      <c r="B249">
        <v>1</v>
      </c>
      <c r="C249">
        <v>104000</v>
      </c>
      <c r="D249">
        <v>268732</v>
      </c>
      <c r="E249">
        <v>104000</v>
      </c>
      <c r="F249">
        <v>104000</v>
      </c>
      <c r="G249" s="1">
        <v>4.4999999999999998E-2</v>
      </c>
      <c r="H249" s="1">
        <v>4.4999999999999998E-2</v>
      </c>
      <c r="I249" s="1">
        <v>4.4999999999999998E-2</v>
      </c>
      <c r="J249" s="1">
        <v>0.35489999999999999</v>
      </c>
    </row>
    <row r="250" spans="1:10" x14ac:dyDescent="0.2">
      <c r="A250" t="str">
        <f>"01/09/2025"</f>
        <v>01/09/2025</v>
      </c>
      <c r="B250">
        <v>1</v>
      </c>
      <c r="C250">
        <v>110000</v>
      </c>
      <c r="D250">
        <v>281389</v>
      </c>
      <c r="E250">
        <v>110000</v>
      </c>
      <c r="F250">
        <v>110000</v>
      </c>
      <c r="G250" s="1">
        <v>4.4999999999999998E-2</v>
      </c>
      <c r="H250" s="1">
        <v>4.4999999999999998E-2</v>
      </c>
      <c r="I250" s="1">
        <v>4.4999999999999998E-2</v>
      </c>
      <c r="J250" s="1">
        <v>0.36080000000000001</v>
      </c>
    </row>
    <row r="251" spans="1:10" x14ac:dyDescent="0.2">
      <c r="A251" t="str">
        <f>"31/08/2025"</f>
        <v>31/08/2025</v>
      </c>
      <c r="B251">
        <v>1</v>
      </c>
      <c r="C251">
        <v>94000</v>
      </c>
      <c r="D251">
        <v>237722</v>
      </c>
      <c r="E251">
        <v>94000</v>
      </c>
      <c r="F251">
        <v>94000</v>
      </c>
      <c r="G251" s="1">
        <v>4.4999999999999998E-2</v>
      </c>
      <c r="H251" s="1">
        <v>4.4999999999999998E-2</v>
      </c>
      <c r="I251" s="1">
        <v>4.4999999999999998E-2</v>
      </c>
      <c r="J251" s="1">
        <v>0.36309999999999998</v>
      </c>
    </row>
    <row r="252" spans="1:10" x14ac:dyDescent="0.2">
      <c r="A252" t="str">
        <f>"28/08/2025"</f>
        <v>28/08/2025</v>
      </c>
      <c r="B252">
        <v>3</v>
      </c>
      <c r="C252">
        <v>71000</v>
      </c>
      <c r="D252">
        <v>173866</v>
      </c>
      <c r="E252">
        <v>71000</v>
      </c>
      <c r="F252">
        <v>71000</v>
      </c>
      <c r="G252" s="1">
        <v>4.4999999999999998E-2</v>
      </c>
      <c r="H252" s="1">
        <v>4.4999999999999998E-2</v>
      </c>
      <c r="I252" s="1">
        <v>4.4999999999999998E-2</v>
      </c>
      <c r="J252" s="1">
        <v>0.36749999999999999</v>
      </c>
    </row>
    <row r="253" spans="1:10" x14ac:dyDescent="0.2">
      <c r="A253" t="str">
        <f>"27/08/2025"</f>
        <v>27/08/2025</v>
      </c>
      <c r="B253">
        <v>1</v>
      </c>
      <c r="C253">
        <v>61000</v>
      </c>
      <c r="D253">
        <v>148667</v>
      </c>
      <c r="E253">
        <v>61000</v>
      </c>
      <c r="F253">
        <v>61000</v>
      </c>
      <c r="G253" s="1">
        <v>4.4999999999999998E-2</v>
      </c>
      <c r="H253" s="1">
        <v>4.4999999999999998E-2</v>
      </c>
      <c r="I253" s="1">
        <v>4.4999999999999998E-2</v>
      </c>
      <c r="J253" s="1">
        <v>0.3604</v>
      </c>
    </row>
    <row r="254" spans="1:10" x14ac:dyDescent="0.2">
      <c r="A254" t="str">
        <f>"26/08/2025"</f>
        <v>26/08/2025</v>
      </c>
      <c r="B254">
        <v>1</v>
      </c>
      <c r="C254">
        <v>65000</v>
      </c>
      <c r="D254">
        <v>157637</v>
      </c>
      <c r="E254">
        <v>65000</v>
      </c>
      <c r="F254">
        <v>65000</v>
      </c>
      <c r="G254" s="1">
        <v>4.4999999999999998E-2</v>
      </c>
      <c r="H254" s="1">
        <v>4.4999999999999998E-2</v>
      </c>
      <c r="I254" s="1">
        <v>4.4999999999999998E-2</v>
      </c>
      <c r="J254" s="1">
        <v>0.36899999999999999</v>
      </c>
    </row>
    <row r="255" spans="1:10" x14ac:dyDescent="0.2">
      <c r="A255" t="str">
        <f>"25/08/2025"</f>
        <v>25/08/2025</v>
      </c>
      <c r="B255">
        <v>1</v>
      </c>
      <c r="C255">
        <v>66000</v>
      </c>
      <c r="D255">
        <v>165931</v>
      </c>
      <c r="E255">
        <v>66000</v>
      </c>
      <c r="F255">
        <v>66000</v>
      </c>
      <c r="G255" s="1">
        <v>4.4999999999999998E-2</v>
      </c>
      <c r="H255" s="1">
        <v>4.4999999999999998E-2</v>
      </c>
      <c r="I255" s="1">
        <v>4.4999999999999998E-2</v>
      </c>
      <c r="J255" s="1">
        <v>0.34770000000000001</v>
      </c>
    </row>
    <row r="256" spans="1:10" x14ac:dyDescent="0.2">
      <c r="A256" t="str">
        <f>"24/08/2025"</f>
        <v>24/08/2025</v>
      </c>
      <c r="B256">
        <v>1</v>
      </c>
      <c r="C256">
        <v>65000</v>
      </c>
      <c r="D256">
        <v>167701</v>
      </c>
      <c r="E256">
        <v>65000</v>
      </c>
      <c r="F256">
        <v>65000</v>
      </c>
      <c r="G256" s="1">
        <v>4.4999999999999998E-2</v>
      </c>
      <c r="H256" s="1">
        <v>4.4999999999999998E-2</v>
      </c>
      <c r="I256" s="1">
        <v>4.4999999999999998E-2</v>
      </c>
      <c r="J256" s="1">
        <v>0.33479999999999999</v>
      </c>
    </row>
    <row r="257" spans="1:10" x14ac:dyDescent="0.2">
      <c r="A257" t="str">
        <f>"21/08/2025"</f>
        <v>21/08/2025</v>
      </c>
      <c r="B257">
        <v>3</v>
      </c>
      <c r="C257">
        <v>66000</v>
      </c>
      <c r="D257">
        <v>153456</v>
      </c>
      <c r="E257">
        <v>66000</v>
      </c>
      <c r="F257">
        <v>66000</v>
      </c>
      <c r="G257" s="1">
        <v>4.4999999999999998E-2</v>
      </c>
      <c r="H257" s="1">
        <v>4.4999999999999998E-2</v>
      </c>
      <c r="I257" s="1">
        <v>4.4999999999999998E-2</v>
      </c>
      <c r="J257" s="1">
        <v>0.39050000000000001</v>
      </c>
    </row>
    <row r="258" spans="1:10" x14ac:dyDescent="0.2">
      <c r="A258" t="str">
        <f>"20/08/2025"</f>
        <v>20/08/2025</v>
      </c>
      <c r="B258">
        <v>1</v>
      </c>
      <c r="C258">
        <v>68000</v>
      </c>
      <c r="D258">
        <v>63647</v>
      </c>
      <c r="E258">
        <v>63647</v>
      </c>
      <c r="F258">
        <v>63647</v>
      </c>
      <c r="G258" s="1">
        <v>4.4999999999999998E-2</v>
      </c>
      <c r="H258" s="1">
        <v>4.4999999999999998E-2</v>
      </c>
      <c r="I258" s="1">
        <v>4.4999999999999998E-2</v>
      </c>
      <c r="J258" s="1">
        <v>1</v>
      </c>
    </row>
    <row r="259" spans="1:10" x14ac:dyDescent="0.2">
      <c r="A259" t="str">
        <f>"19/08/2025"</f>
        <v>19/08/2025</v>
      </c>
      <c r="B259">
        <v>1</v>
      </c>
      <c r="C259">
        <v>65000</v>
      </c>
      <c r="D259">
        <v>137289</v>
      </c>
      <c r="E259">
        <v>65000</v>
      </c>
      <c r="F259">
        <v>65000</v>
      </c>
      <c r="G259" s="1">
        <v>4.4999999999999998E-2</v>
      </c>
      <c r="H259" s="1">
        <v>4.4999999999999998E-2</v>
      </c>
      <c r="I259" s="1">
        <v>4.4999999999999998E-2</v>
      </c>
      <c r="J259" s="1">
        <v>0.41239999999999999</v>
      </c>
    </row>
    <row r="260" spans="1:10" x14ac:dyDescent="0.2">
      <c r="A260" t="str">
        <f>"18/08/2025"</f>
        <v>18/08/2025</v>
      </c>
      <c r="B260">
        <v>1</v>
      </c>
      <c r="C260">
        <v>68000</v>
      </c>
      <c r="D260">
        <v>141705</v>
      </c>
      <c r="E260">
        <v>68000</v>
      </c>
      <c r="F260">
        <v>68000</v>
      </c>
      <c r="G260" s="1">
        <v>4.4999999999999998E-2</v>
      </c>
      <c r="H260" s="1">
        <v>4.4999999999999998E-2</v>
      </c>
      <c r="I260" s="1">
        <v>4.4999999999999998E-2</v>
      </c>
      <c r="J260" s="1">
        <v>0.4103</v>
      </c>
    </row>
    <row r="261" spans="1:10" x14ac:dyDescent="0.2">
      <c r="A261" t="str">
        <f>"17/08/2025"</f>
        <v>17/08/2025</v>
      </c>
      <c r="B261">
        <v>1</v>
      </c>
      <c r="C261">
        <v>71000</v>
      </c>
      <c r="D261">
        <v>153349</v>
      </c>
      <c r="E261">
        <v>71000</v>
      </c>
      <c r="F261">
        <v>71000</v>
      </c>
      <c r="G261" s="1">
        <v>4.4999999999999998E-2</v>
      </c>
      <c r="H261" s="1">
        <v>4.4999999999999998E-2</v>
      </c>
      <c r="I261" s="1">
        <v>4.4999999999999998E-2</v>
      </c>
      <c r="J261" s="1">
        <v>0.4022</v>
      </c>
    </row>
    <row r="262" spans="1:10" x14ac:dyDescent="0.2">
      <c r="A262" t="str">
        <f>"14/08/2025"</f>
        <v>14/08/2025</v>
      </c>
      <c r="B262">
        <v>3</v>
      </c>
      <c r="C262">
        <v>78000</v>
      </c>
      <c r="D262">
        <v>178293</v>
      </c>
      <c r="E262">
        <v>78000</v>
      </c>
      <c r="F262">
        <v>78000</v>
      </c>
      <c r="G262" s="1">
        <v>4.4999999999999998E-2</v>
      </c>
      <c r="H262" s="1">
        <v>4.4999999999999998E-2</v>
      </c>
      <c r="I262" s="1">
        <v>4.4999999999999998E-2</v>
      </c>
      <c r="J262" s="1">
        <v>0.3866</v>
      </c>
    </row>
    <row r="263" spans="1:10" x14ac:dyDescent="0.2">
      <c r="A263" t="str">
        <f>"13/08/2025"</f>
        <v>13/08/2025</v>
      </c>
      <c r="B263">
        <v>1</v>
      </c>
      <c r="C263">
        <v>82000</v>
      </c>
      <c r="D263">
        <v>201194</v>
      </c>
      <c r="E263">
        <v>82000</v>
      </c>
      <c r="F263">
        <v>82000</v>
      </c>
      <c r="G263" s="1">
        <v>4.4999999999999998E-2</v>
      </c>
      <c r="H263" s="1">
        <v>4.4999999999999998E-2</v>
      </c>
      <c r="I263" s="1">
        <v>4.4999999999999998E-2</v>
      </c>
      <c r="J263" s="1">
        <v>0.35060000000000002</v>
      </c>
    </row>
    <row r="264" spans="1:10" x14ac:dyDescent="0.2">
      <c r="A264" t="str">
        <f>"12/08/2025"</f>
        <v>12/08/2025</v>
      </c>
      <c r="B264">
        <v>1</v>
      </c>
      <c r="C264">
        <v>79000</v>
      </c>
      <c r="D264">
        <v>202519</v>
      </c>
      <c r="E264">
        <v>79000</v>
      </c>
      <c r="F264">
        <v>79000</v>
      </c>
      <c r="G264" s="1">
        <v>4.4999999999999998E-2</v>
      </c>
      <c r="H264" s="1">
        <v>4.4999999999999998E-2</v>
      </c>
      <c r="I264" s="1">
        <v>4.4999999999999998E-2</v>
      </c>
      <c r="J264" s="1">
        <v>0.3458</v>
      </c>
    </row>
    <row r="265" spans="1:10" x14ac:dyDescent="0.2">
      <c r="A265" t="str">
        <f>"11/08/2025"</f>
        <v>11/08/2025</v>
      </c>
      <c r="B265">
        <v>1</v>
      </c>
      <c r="C265">
        <v>82000</v>
      </c>
      <c r="D265">
        <v>188401</v>
      </c>
      <c r="E265">
        <v>82000</v>
      </c>
      <c r="F265">
        <v>82000</v>
      </c>
      <c r="G265" s="1">
        <v>4.4999999999999998E-2</v>
      </c>
      <c r="H265" s="1">
        <v>4.4999999999999998E-2</v>
      </c>
      <c r="I265" s="1">
        <v>4.4999999999999998E-2</v>
      </c>
      <c r="J265" s="1">
        <v>0.38529999999999998</v>
      </c>
    </row>
    <row r="266" spans="1:10" x14ac:dyDescent="0.2">
      <c r="A266" t="str">
        <f>"10/08/2025"</f>
        <v>10/08/2025</v>
      </c>
      <c r="B266">
        <v>1</v>
      </c>
      <c r="C266">
        <v>80000</v>
      </c>
      <c r="D266">
        <v>172854</v>
      </c>
      <c r="E266">
        <v>80000</v>
      </c>
      <c r="F266">
        <v>80000</v>
      </c>
      <c r="G266" s="1">
        <v>4.4999999999999998E-2</v>
      </c>
      <c r="H266" s="1">
        <v>4.4999999999999998E-2</v>
      </c>
      <c r="I266" s="1">
        <v>4.4999999999999998E-2</v>
      </c>
      <c r="J266" s="1">
        <v>0.41660000000000003</v>
      </c>
    </row>
    <row r="267" spans="1:10" x14ac:dyDescent="0.2">
      <c r="A267" t="str">
        <f>"07/08/2025"</f>
        <v>07/08/2025</v>
      </c>
      <c r="B267">
        <v>3</v>
      </c>
      <c r="C267">
        <v>80000</v>
      </c>
      <c r="D267">
        <v>171232</v>
      </c>
      <c r="E267">
        <v>80000</v>
      </c>
      <c r="F267">
        <v>80000</v>
      </c>
      <c r="G267" s="1">
        <v>4.4999999999999998E-2</v>
      </c>
      <c r="H267" s="1">
        <v>4.4999999999999998E-2</v>
      </c>
      <c r="I267" s="1">
        <v>4.4999999999999998E-2</v>
      </c>
      <c r="J267" s="1">
        <v>0.42680000000000001</v>
      </c>
    </row>
    <row r="268" spans="1:10" x14ac:dyDescent="0.2">
      <c r="A268" t="str">
        <f>"06/08/2025"</f>
        <v>06/08/2025</v>
      </c>
      <c r="B268">
        <v>1</v>
      </c>
      <c r="C268">
        <v>79000</v>
      </c>
      <c r="D268">
        <v>167311</v>
      </c>
      <c r="E268">
        <v>79000</v>
      </c>
      <c r="F268">
        <v>79000</v>
      </c>
      <c r="G268" s="1">
        <v>4.4999999999999998E-2</v>
      </c>
      <c r="H268" s="1">
        <v>4.4999999999999998E-2</v>
      </c>
      <c r="I268" s="1">
        <v>4.4999999999999998E-2</v>
      </c>
      <c r="J268" s="1">
        <v>0.42370000000000002</v>
      </c>
    </row>
    <row r="269" spans="1:10" x14ac:dyDescent="0.2">
      <c r="A269" t="str">
        <f>"05/08/2025"</f>
        <v>05/08/2025</v>
      </c>
      <c r="B269">
        <v>1</v>
      </c>
      <c r="C269">
        <v>80000</v>
      </c>
      <c r="D269">
        <v>163920</v>
      </c>
      <c r="E269">
        <v>80000</v>
      </c>
      <c r="F269">
        <v>80000</v>
      </c>
      <c r="G269" s="1">
        <v>4.4999999999999998E-2</v>
      </c>
      <c r="H269" s="1">
        <v>4.4999999999999998E-2</v>
      </c>
      <c r="I269" s="1">
        <v>4.4999999999999998E-2</v>
      </c>
      <c r="J269" s="1">
        <v>0.42170000000000002</v>
      </c>
    </row>
    <row r="270" spans="1:10" x14ac:dyDescent="0.2">
      <c r="A270" t="str">
        <f>"04/08/2025"</f>
        <v>04/08/2025</v>
      </c>
      <c r="B270">
        <v>1</v>
      </c>
      <c r="C270">
        <v>77000</v>
      </c>
      <c r="D270">
        <v>156632</v>
      </c>
      <c r="E270">
        <v>77000</v>
      </c>
      <c r="F270">
        <v>77000</v>
      </c>
      <c r="G270" s="1">
        <v>4.4999999999999998E-2</v>
      </c>
      <c r="H270" s="1">
        <v>4.4999999999999998E-2</v>
      </c>
      <c r="I270" s="1">
        <v>4.4999999999999998E-2</v>
      </c>
      <c r="J270" s="1">
        <v>0.43869999999999998</v>
      </c>
    </row>
    <row r="271" spans="1:10" x14ac:dyDescent="0.2">
      <c r="A271" t="str">
        <f>"31/07/2025"</f>
        <v>31/07/2025</v>
      </c>
      <c r="B271">
        <v>4</v>
      </c>
      <c r="C271">
        <v>78000</v>
      </c>
      <c r="D271">
        <v>196473</v>
      </c>
      <c r="E271">
        <v>78000</v>
      </c>
      <c r="F271">
        <v>78000</v>
      </c>
      <c r="G271" s="1">
        <v>4.4999999999999998E-2</v>
      </c>
      <c r="H271" s="1">
        <v>4.4999999999999998E-2</v>
      </c>
      <c r="I271" s="1">
        <v>4.4999999999999998E-2</v>
      </c>
      <c r="J271" s="1">
        <v>0.35649999999999998</v>
      </c>
    </row>
    <row r="272" spans="1:10" x14ac:dyDescent="0.2">
      <c r="A272" t="str">
        <f>"30/07/2025"</f>
        <v>30/07/2025</v>
      </c>
      <c r="B272">
        <v>1</v>
      </c>
      <c r="C272">
        <v>67000</v>
      </c>
      <c r="D272">
        <v>166896</v>
      </c>
      <c r="E272">
        <v>67000</v>
      </c>
      <c r="F272">
        <v>67000</v>
      </c>
      <c r="G272" s="1">
        <v>4.4999999999999998E-2</v>
      </c>
      <c r="H272" s="1">
        <v>4.4999999999999998E-2</v>
      </c>
      <c r="I272" s="1">
        <v>4.4999999999999998E-2</v>
      </c>
      <c r="J272" s="1">
        <v>0.34770000000000001</v>
      </c>
    </row>
    <row r="273" spans="1:10" x14ac:dyDescent="0.2">
      <c r="A273" t="str">
        <f>"29/07/2025"</f>
        <v>29/07/2025</v>
      </c>
      <c r="B273">
        <v>1</v>
      </c>
      <c r="C273">
        <v>67000</v>
      </c>
      <c r="D273">
        <v>178644</v>
      </c>
      <c r="E273">
        <v>67000</v>
      </c>
      <c r="F273">
        <v>67000</v>
      </c>
      <c r="G273" s="1">
        <v>4.4999999999999998E-2</v>
      </c>
      <c r="H273" s="1">
        <v>4.4999999999999998E-2</v>
      </c>
      <c r="I273" s="1">
        <v>4.4999999999999998E-2</v>
      </c>
      <c r="J273" s="1">
        <v>0.32250000000000001</v>
      </c>
    </row>
    <row r="274" spans="1:10" x14ac:dyDescent="0.2">
      <c r="A274" t="str">
        <f>"28/07/2025"</f>
        <v>28/07/2025</v>
      </c>
      <c r="B274">
        <v>1</v>
      </c>
      <c r="C274">
        <v>69000</v>
      </c>
      <c r="D274">
        <v>186813</v>
      </c>
      <c r="E274">
        <v>69000</v>
      </c>
      <c r="F274">
        <v>69000</v>
      </c>
      <c r="G274" s="1">
        <v>4.4999999999999998E-2</v>
      </c>
      <c r="H274" s="1">
        <v>4.4999999999999998E-2</v>
      </c>
      <c r="I274" s="1">
        <v>4.4999999999999998E-2</v>
      </c>
      <c r="J274" s="1">
        <v>0.31669999999999998</v>
      </c>
    </row>
    <row r="275" spans="1:10" x14ac:dyDescent="0.2">
      <c r="A275" t="str">
        <f>"27/07/2025"</f>
        <v>27/07/2025</v>
      </c>
      <c r="B275">
        <v>1</v>
      </c>
      <c r="C275">
        <v>61000</v>
      </c>
      <c r="D275">
        <v>166834</v>
      </c>
      <c r="E275">
        <v>61000</v>
      </c>
      <c r="F275">
        <v>61000</v>
      </c>
      <c r="G275" s="1">
        <v>4.4999999999999998E-2</v>
      </c>
      <c r="H275" s="1">
        <v>4.4999999999999998E-2</v>
      </c>
      <c r="I275" s="1">
        <v>4.4999999999999998E-2</v>
      </c>
      <c r="J275" s="1">
        <v>0.31130000000000002</v>
      </c>
    </row>
    <row r="276" spans="1:10" x14ac:dyDescent="0.2">
      <c r="A276" t="str">
        <f>"24/07/2025"</f>
        <v>24/07/2025</v>
      </c>
      <c r="B276">
        <v>3</v>
      </c>
      <c r="C276">
        <v>62000</v>
      </c>
      <c r="D276">
        <v>152174</v>
      </c>
      <c r="E276">
        <v>62000</v>
      </c>
      <c r="F276">
        <v>62000</v>
      </c>
      <c r="G276" s="1">
        <v>4.4999999999999998E-2</v>
      </c>
      <c r="H276" s="1">
        <v>4.4999999999999998E-2</v>
      </c>
      <c r="I276" s="1">
        <v>4.4999999999999998E-2</v>
      </c>
      <c r="J276" s="1">
        <v>0.36480000000000001</v>
      </c>
    </row>
    <row r="277" spans="1:10" x14ac:dyDescent="0.2">
      <c r="A277" t="str">
        <f>"23/07/2025"</f>
        <v>23/07/2025</v>
      </c>
      <c r="B277">
        <v>1</v>
      </c>
      <c r="C277">
        <v>53000</v>
      </c>
      <c r="D277">
        <v>137949</v>
      </c>
      <c r="E277">
        <v>53000</v>
      </c>
      <c r="F277">
        <v>53000</v>
      </c>
      <c r="G277" s="1">
        <v>4.4999999999999998E-2</v>
      </c>
      <c r="H277" s="1">
        <v>4.4999999999999998E-2</v>
      </c>
      <c r="I277" s="1">
        <v>4.4999999999999998E-2</v>
      </c>
      <c r="J277" s="1">
        <v>0.32369999999999999</v>
      </c>
    </row>
    <row r="278" spans="1:10" x14ac:dyDescent="0.2">
      <c r="A278" t="str">
        <f>"22/07/2025"</f>
        <v>22/07/2025</v>
      </c>
      <c r="B278">
        <v>1</v>
      </c>
      <c r="C278">
        <v>55000</v>
      </c>
      <c r="D278">
        <v>148879</v>
      </c>
      <c r="E278">
        <v>55000</v>
      </c>
      <c r="F278">
        <v>55000</v>
      </c>
      <c r="G278" s="1">
        <v>4.4999999999999998E-2</v>
      </c>
      <c r="H278" s="1">
        <v>4.4999999999999998E-2</v>
      </c>
      <c r="I278" s="1">
        <v>4.4999999999999998E-2</v>
      </c>
      <c r="J278" s="1">
        <v>0.31590000000000001</v>
      </c>
    </row>
    <row r="279" spans="1:10" x14ac:dyDescent="0.2">
      <c r="A279" t="str">
        <f>"21/07/2025"</f>
        <v>21/07/2025</v>
      </c>
      <c r="B279">
        <v>1</v>
      </c>
      <c r="C279">
        <v>58000</v>
      </c>
      <c r="D279">
        <v>157322</v>
      </c>
      <c r="E279">
        <v>58000</v>
      </c>
      <c r="F279">
        <v>58000</v>
      </c>
      <c r="G279" s="1">
        <v>4.4999999999999998E-2</v>
      </c>
      <c r="H279" s="1">
        <v>4.4999999999999998E-2</v>
      </c>
      <c r="I279" s="1">
        <v>4.4999999999999998E-2</v>
      </c>
      <c r="J279" s="1">
        <v>0.3211</v>
      </c>
    </row>
    <row r="280" spans="1:10" x14ac:dyDescent="0.2">
      <c r="A280" t="str">
        <f>"20/07/2025"</f>
        <v>20/07/2025</v>
      </c>
      <c r="B280">
        <v>1</v>
      </c>
      <c r="C280">
        <v>60000</v>
      </c>
      <c r="D280">
        <v>148638</v>
      </c>
      <c r="E280">
        <v>60000</v>
      </c>
      <c r="F280">
        <v>60000</v>
      </c>
      <c r="G280" s="1">
        <v>4.4999999999999998E-2</v>
      </c>
      <c r="H280" s="1">
        <v>4.4999999999999998E-2</v>
      </c>
      <c r="I280" s="1">
        <v>4.4999999999999998E-2</v>
      </c>
      <c r="J280" s="1">
        <v>0.35670000000000002</v>
      </c>
    </row>
    <row r="281" spans="1:10" x14ac:dyDescent="0.2">
      <c r="A281" t="str">
        <f>"17/07/2025"</f>
        <v>17/07/2025</v>
      </c>
      <c r="B281">
        <v>3</v>
      </c>
      <c r="C281">
        <v>65000</v>
      </c>
      <c r="D281">
        <v>165442</v>
      </c>
      <c r="E281">
        <v>65000</v>
      </c>
      <c r="F281">
        <v>65000</v>
      </c>
      <c r="G281" s="1">
        <v>4.4999999999999998E-2</v>
      </c>
      <c r="H281" s="1">
        <v>4.4999999999999998E-2</v>
      </c>
      <c r="I281" s="1">
        <v>4.4999999999999998E-2</v>
      </c>
      <c r="J281" s="1">
        <v>0.35199999999999998</v>
      </c>
    </row>
    <row r="282" spans="1:10" x14ac:dyDescent="0.2">
      <c r="A282" t="str">
        <f>"16/07/2025"</f>
        <v>16/07/2025</v>
      </c>
      <c r="B282">
        <v>1</v>
      </c>
      <c r="C282">
        <v>71000</v>
      </c>
      <c r="D282">
        <v>189379</v>
      </c>
      <c r="E282">
        <v>71000</v>
      </c>
      <c r="F282">
        <v>71000</v>
      </c>
      <c r="G282" s="1">
        <v>4.4999999999999998E-2</v>
      </c>
      <c r="H282" s="1">
        <v>4.4999999999999998E-2</v>
      </c>
      <c r="I282" s="1">
        <v>4.4999999999999998E-2</v>
      </c>
      <c r="J282" s="1">
        <v>0.3296</v>
      </c>
    </row>
    <row r="283" spans="1:10" x14ac:dyDescent="0.2">
      <c r="A283" t="str">
        <f>"15/07/2025"</f>
        <v>15/07/2025</v>
      </c>
      <c r="B283">
        <v>1</v>
      </c>
      <c r="C283">
        <v>76000</v>
      </c>
      <c r="D283">
        <v>204542</v>
      </c>
      <c r="E283">
        <v>76000</v>
      </c>
      <c r="F283">
        <v>76000</v>
      </c>
      <c r="G283" s="1">
        <v>4.4999999999999998E-2</v>
      </c>
      <c r="H283" s="1">
        <v>4.4999999999999998E-2</v>
      </c>
      <c r="I283" s="1">
        <v>4.4999999999999998E-2</v>
      </c>
      <c r="J283" s="1">
        <v>0.3281</v>
      </c>
    </row>
    <row r="284" spans="1:10" x14ac:dyDescent="0.2">
      <c r="A284" t="str">
        <f>"14/07/2025"</f>
        <v>14/07/2025</v>
      </c>
      <c r="B284">
        <v>1</v>
      </c>
      <c r="C284">
        <v>81000</v>
      </c>
      <c r="D284">
        <v>207822</v>
      </c>
      <c r="E284">
        <v>81000</v>
      </c>
      <c r="F284">
        <v>81000</v>
      </c>
      <c r="G284" s="1">
        <v>4.4999999999999998E-2</v>
      </c>
      <c r="H284" s="1">
        <v>4.4999999999999998E-2</v>
      </c>
      <c r="I284" s="1">
        <v>4.4999999999999998E-2</v>
      </c>
      <c r="J284" s="1">
        <v>0.34320000000000001</v>
      </c>
    </row>
    <row r="285" spans="1:10" x14ac:dyDescent="0.2">
      <c r="A285" t="str">
        <f>"13/07/2025"</f>
        <v>13/07/2025</v>
      </c>
      <c r="B285">
        <v>1</v>
      </c>
      <c r="C285">
        <v>82000</v>
      </c>
      <c r="D285">
        <v>205253</v>
      </c>
      <c r="E285">
        <v>82000</v>
      </c>
      <c r="F285">
        <v>82000</v>
      </c>
      <c r="G285" s="1">
        <v>4.4999999999999998E-2</v>
      </c>
      <c r="H285" s="1">
        <v>4.4999999999999998E-2</v>
      </c>
      <c r="I285" s="1">
        <v>4.4999999999999998E-2</v>
      </c>
      <c r="J285" s="1">
        <v>0.3579</v>
      </c>
    </row>
    <row r="286" spans="1:10" x14ac:dyDescent="0.2">
      <c r="A286" t="str">
        <f>"10/07/2025"</f>
        <v>10/07/2025</v>
      </c>
      <c r="B286">
        <v>3</v>
      </c>
      <c r="C286">
        <v>80000</v>
      </c>
      <c r="D286">
        <v>174655</v>
      </c>
      <c r="E286">
        <v>80000</v>
      </c>
      <c r="F286">
        <v>80000</v>
      </c>
      <c r="G286" s="1">
        <v>4.4999999999999998E-2</v>
      </c>
      <c r="H286" s="1">
        <v>4.4999999999999998E-2</v>
      </c>
      <c r="I286" s="1">
        <v>4.4999999999999998E-2</v>
      </c>
      <c r="J286" s="1">
        <v>0.41949999999999998</v>
      </c>
    </row>
    <row r="287" spans="1:10" x14ac:dyDescent="0.2">
      <c r="A287" t="str">
        <f>"09/07/2025"</f>
        <v>09/07/2025</v>
      </c>
      <c r="B287">
        <v>1</v>
      </c>
      <c r="C287">
        <v>79000</v>
      </c>
      <c r="D287">
        <v>74336</v>
      </c>
      <c r="E287">
        <v>74336</v>
      </c>
      <c r="F287">
        <v>74336</v>
      </c>
      <c r="G287" s="1">
        <v>4.4999999999999998E-2</v>
      </c>
      <c r="H287" s="1">
        <v>4.4999999999999998E-2</v>
      </c>
      <c r="I287" s="1">
        <v>4.4999999999999998E-2</v>
      </c>
      <c r="J287" s="1">
        <v>1</v>
      </c>
    </row>
    <row r="288" spans="1:10" x14ac:dyDescent="0.2">
      <c r="A288" t="str">
        <f>"08/07/2025"</f>
        <v>08/07/2025</v>
      </c>
      <c r="B288">
        <v>1</v>
      </c>
      <c r="C288">
        <v>75000</v>
      </c>
      <c r="D288">
        <v>184701</v>
      </c>
      <c r="E288">
        <v>75000</v>
      </c>
      <c r="F288">
        <v>75000</v>
      </c>
      <c r="G288" s="1">
        <v>4.4999999999999998E-2</v>
      </c>
      <c r="H288" s="1">
        <v>4.4999999999999998E-2</v>
      </c>
      <c r="I288" s="1">
        <v>4.4999999999999998E-2</v>
      </c>
      <c r="J288" s="1">
        <v>0.33610000000000001</v>
      </c>
    </row>
    <row r="289" spans="1:10" x14ac:dyDescent="0.2">
      <c r="A289" t="str">
        <f>"07/07/2025"</f>
        <v>07/07/2025</v>
      </c>
      <c r="B289">
        <v>1</v>
      </c>
      <c r="C289">
        <v>76000</v>
      </c>
      <c r="D289">
        <v>195522</v>
      </c>
      <c r="E289">
        <v>76000</v>
      </c>
      <c r="F289">
        <v>76000</v>
      </c>
      <c r="G289" s="1">
        <v>4.4999999999999998E-2</v>
      </c>
      <c r="H289" s="1">
        <v>4.4999999999999998E-2</v>
      </c>
      <c r="I289" s="1">
        <v>4.4999999999999998E-2</v>
      </c>
      <c r="J289" s="1">
        <v>0.3422</v>
      </c>
    </row>
    <row r="290" spans="1:10" x14ac:dyDescent="0.2">
      <c r="A290" t="str">
        <f>"06/07/2025"</f>
        <v>06/07/2025</v>
      </c>
      <c r="B290">
        <v>1</v>
      </c>
      <c r="C290">
        <v>75000</v>
      </c>
      <c r="D290">
        <v>187965</v>
      </c>
      <c r="E290">
        <v>75000</v>
      </c>
      <c r="F290">
        <v>75000</v>
      </c>
      <c r="G290" s="1">
        <v>4.4999999999999998E-2</v>
      </c>
      <c r="H290" s="1">
        <v>4.4999999999999998E-2</v>
      </c>
      <c r="I290" s="1">
        <v>4.4999999999999998E-2</v>
      </c>
      <c r="J290" s="1">
        <v>0.35589999999999999</v>
      </c>
    </row>
    <row r="291" spans="1:10" x14ac:dyDescent="0.2">
      <c r="A291" t="str">
        <f>"03/07/2025"</f>
        <v>03/07/2025</v>
      </c>
      <c r="B291">
        <v>3</v>
      </c>
      <c r="C291">
        <v>75000</v>
      </c>
      <c r="D291">
        <v>167243</v>
      </c>
      <c r="E291">
        <v>75000</v>
      </c>
      <c r="F291">
        <v>75000</v>
      </c>
      <c r="G291" s="1">
        <v>4.4999999999999998E-2</v>
      </c>
      <c r="H291" s="1">
        <v>4.4999999999999998E-2</v>
      </c>
      <c r="I291" s="1">
        <v>4.4999999999999998E-2</v>
      </c>
      <c r="J291" s="1">
        <v>0.39610000000000001</v>
      </c>
    </row>
    <row r="292" spans="1:10" x14ac:dyDescent="0.2">
      <c r="A292" t="str">
        <f>"02/07/2025"</f>
        <v>02/07/2025</v>
      </c>
      <c r="B292">
        <v>1</v>
      </c>
      <c r="C292">
        <v>71000</v>
      </c>
      <c r="D292">
        <v>149631</v>
      </c>
      <c r="E292">
        <v>71000</v>
      </c>
      <c r="F292">
        <v>71000</v>
      </c>
      <c r="G292" s="1">
        <v>4.4999999999999998E-2</v>
      </c>
      <c r="H292" s="1">
        <v>4.4999999999999998E-2</v>
      </c>
      <c r="I292" s="1">
        <v>4.4999999999999998E-2</v>
      </c>
      <c r="J292" s="1">
        <v>0.41010000000000002</v>
      </c>
    </row>
    <row r="293" spans="1:10" x14ac:dyDescent="0.2">
      <c r="A293" t="str">
        <f>"01/07/2025"</f>
        <v>01/07/2025</v>
      </c>
      <c r="B293">
        <v>1</v>
      </c>
      <c r="C293">
        <v>77000</v>
      </c>
      <c r="D293">
        <v>146585</v>
      </c>
      <c r="E293">
        <v>77000</v>
      </c>
      <c r="F293">
        <v>77000</v>
      </c>
      <c r="G293" s="1">
        <v>4.4999999999999998E-2</v>
      </c>
      <c r="H293" s="1">
        <v>4.4999999999999998E-2</v>
      </c>
      <c r="I293" s="1">
        <v>4.4999999999999998E-2</v>
      </c>
      <c r="J293" s="1">
        <v>0.47099999999999997</v>
      </c>
    </row>
    <row r="294" spans="1:10" x14ac:dyDescent="0.2">
      <c r="A294" t="str">
        <f>"30/06/2025"</f>
        <v>30/06/2025</v>
      </c>
      <c r="B294">
        <v>1</v>
      </c>
      <c r="C294">
        <v>65000</v>
      </c>
      <c r="D294">
        <v>110934</v>
      </c>
      <c r="E294">
        <v>65000</v>
      </c>
      <c r="F294">
        <v>65000</v>
      </c>
      <c r="G294" s="1">
        <v>4.4999999999999998E-2</v>
      </c>
      <c r="H294" s="1">
        <v>4.4999999999999998E-2</v>
      </c>
      <c r="I294" s="1">
        <v>4.4999999999999998E-2</v>
      </c>
      <c r="J294" s="1">
        <v>0.52149999999999996</v>
      </c>
    </row>
    <row r="295" spans="1:10" x14ac:dyDescent="0.2">
      <c r="A295" t="str">
        <f>"29/06/2025"</f>
        <v>29/06/2025</v>
      </c>
      <c r="B295">
        <v>1</v>
      </c>
      <c r="C295">
        <v>60000</v>
      </c>
      <c r="D295">
        <v>86403</v>
      </c>
      <c r="E295">
        <v>60000</v>
      </c>
      <c r="F295">
        <v>60000</v>
      </c>
      <c r="G295" s="1">
        <v>4.4999999999999998E-2</v>
      </c>
      <c r="H295" s="1">
        <v>4.4999999999999998E-2</v>
      </c>
      <c r="I295" s="1">
        <v>4.4999999999999998E-2</v>
      </c>
      <c r="J295" s="1">
        <v>0.64839999999999998</v>
      </c>
    </row>
    <row r="296" spans="1:10" x14ac:dyDescent="0.2">
      <c r="A296" t="str">
        <f>"26/06/2025"</f>
        <v>26/06/2025</v>
      </c>
      <c r="B296">
        <v>3</v>
      </c>
      <c r="C296">
        <v>68000</v>
      </c>
      <c r="D296">
        <v>151320</v>
      </c>
      <c r="E296">
        <v>68000</v>
      </c>
      <c r="F296">
        <v>68000</v>
      </c>
      <c r="G296" s="1">
        <v>4.4999999999999998E-2</v>
      </c>
      <c r="H296" s="1">
        <v>4.4999999999999998E-2</v>
      </c>
      <c r="I296" s="1">
        <v>4.4999999999999998E-2</v>
      </c>
      <c r="J296" s="1">
        <v>0.40129999999999999</v>
      </c>
    </row>
    <row r="297" spans="1:10" x14ac:dyDescent="0.2">
      <c r="A297" t="str">
        <f>"25/06/2025"</f>
        <v>25/06/2025</v>
      </c>
      <c r="B297">
        <v>1</v>
      </c>
      <c r="C297">
        <v>74000</v>
      </c>
      <c r="D297">
        <v>188415</v>
      </c>
      <c r="E297">
        <v>74000</v>
      </c>
      <c r="F297">
        <v>74000</v>
      </c>
      <c r="G297" s="1">
        <v>4.4999999999999998E-2</v>
      </c>
      <c r="H297" s="1">
        <v>4.4999999999999998E-2</v>
      </c>
      <c r="I297" s="1">
        <v>4.4999999999999998E-2</v>
      </c>
      <c r="J297" s="1">
        <v>0.34470000000000001</v>
      </c>
    </row>
    <row r="298" spans="1:10" x14ac:dyDescent="0.2">
      <c r="A298" t="str">
        <f>"24/06/2025"</f>
        <v>24/06/2025</v>
      </c>
      <c r="B298">
        <v>1</v>
      </c>
      <c r="C298">
        <v>67000</v>
      </c>
      <c r="D298">
        <v>168333</v>
      </c>
      <c r="E298">
        <v>67000</v>
      </c>
      <c r="F298">
        <v>67000</v>
      </c>
      <c r="G298" s="1">
        <v>4.4999999999999998E-2</v>
      </c>
      <c r="H298" s="1">
        <v>4.4999999999999998E-2</v>
      </c>
      <c r="I298" s="1">
        <v>4.4999999999999998E-2</v>
      </c>
      <c r="J298" s="1">
        <v>0.34360000000000002</v>
      </c>
    </row>
    <row r="299" spans="1:10" x14ac:dyDescent="0.2">
      <c r="A299" t="str">
        <f>"23/06/2025"</f>
        <v>23/06/2025</v>
      </c>
      <c r="B299">
        <v>1</v>
      </c>
      <c r="C299">
        <v>69000</v>
      </c>
      <c r="D299">
        <v>174340</v>
      </c>
      <c r="E299">
        <v>69000</v>
      </c>
      <c r="F299">
        <v>69000</v>
      </c>
      <c r="G299" s="1">
        <v>4.4999999999999998E-2</v>
      </c>
      <c r="H299" s="1">
        <v>4.4999999999999998E-2</v>
      </c>
      <c r="I299" s="1">
        <v>4.4999999999999998E-2</v>
      </c>
      <c r="J299" s="1">
        <v>0.33950000000000002</v>
      </c>
    </row>
    <row r="300" spans="1:10" x14ac:dyDescent="0.2">
      <c r="A300" t="str">
        <f>"22/06/2025"</f>
        <v>22/06/2025</v>
      </c>
      <c r="B300">
        <v>1</v>
      </c>
      <c r="C300">
        <v>74000</v>
      </c>
      <c r="D300">
        <v>196654</v>
      </c>
      <c r="E300">
        <v>74000</v>
      </c>
      <c r="F300">
        <v>74000</v>
      </c>
      <c r="G300" s="1">
        <v>4.4999999999999998E-2</v>
      </c>
      <c r="H300" s="1">
        <v>4.4999999999999998E-2</v>
      </c>
      <c r="I300" s="1">
        <v>4.4999999999999998E-2</v>
      </c>
      <c r="J300" s="1">
        <v>0.33810000000000001</v>
      </c>
    </row>
    <row r="301" spans="1:10" x14ac:dyDescent="0.2">
      <c r="A301" t="str">
        <f>"19/06/2025"</f>
        <v>19/06/2025</v>
      </c>
      <c r="B301">
        <v>3</v>
      </c>
      <c r="C301">
        <v>69000</v>
      </c>
      <c r="D301">
        <v>159859</v>
      </c>
      <c r="E301">
        <v>69000</v>
      </c>
      <c r="F301">
        <v>69000</v>
      </c>
      <c r="G301" s="1">
        <v>4.4999999999999998E-2</v>
      </c>
      <c r="H301" s="1">
        <v>4.4999999999999998E-2</v>
      </c>
      <c r="I301" s="1">
        <v>4.4999999999999998E-2</v>
      </c>
      <c r="J301" s="1">
        <v>0.39660000000000001</v>
      </c>
    </row>
    <row r="302" spans="1:10" x14ac:dyDescent="0.2">
      <c r="A302" t="str">
        <f>"18/06/2025"</f>
        <v>18/06/2025</v>
      </c>
      <c r="B302">
        <v>1</v>
      </c>
      <c r="C302">
        <v>72000</v>
      </c>
      <c r="D302">
        <v>165074</v>
      </c>
      <c r="E302">
        <v>72000</v>
      </c>
      <c r="F302">
        <v>72000</v>
      </c>
      <c r="G302" s="1">
        <v>4.4999999999999998E-2</v>
      </c>
      <c r="H302" s="1">
        <v>4.4999999999999998E-2</v>
      </c>
      <c r="I302" s="1">
        <v>4.4999999999999998E-2</v>
      </c>
      <c r="J302" s="1">
        <v>0.39650000000000002</v>
      </c>
    </row>
    <row r="303" spans="1:10" x14ac:dyDescent="0.2">
      <c r="A303" t="str">
        <f>"17/06/2025"</f>
        <v>17/06/2025</v>
      </c>
      <c r="B303">
        <v>1</v>
      </c>
      <c r="C303">
        <v>72000</v>
      </c>
      <c r="D303">
        <v>159295</v>
      </c>
      <c r="E303">
        <v>72000</v>
      </c>
      <c r="F303">
        <v>72000</v>
      </c>
      <c r="G303" s="1">
        <v>4.4999999999999998E-2</v>
      </c>
      <c r="H303" s="1">
        <v>4.4999999999999998E-2</v>
      </c>
      <c r="I303" s="1">
        <v>4.4999999999999998E-2</v>
      </c>
      <c r="J303" s="1">
        <v>0.40989999999999999</v>
      </c>
    </row>
    <row r="304" spans="1:10" x14ac:dyDescent="0.2">
      <c r="A304" t="str">
        <f>"16/06/2025"</f>
        <v>16/06/2025</v>
      </c>
      <c r="B304">
        <v>1</v>
      </c>
      <c r="C304">
        <v>76000</v>
      </c>
      <c r="D304">
        <v>161661</v>
      </c>
      <c r="E304">
        <v>76000</v>
      </c>
      <c r="F304">
        <v>76000</v>
      </c>
      <c r="G304" s="1">
        <v>4.4999999999999998E-2</v>
      </c>
      <c r="H304" s="1">
        <v>4.4999999999999998E-2</v>
      </c>
      <c r="I304" s="1">
        <v>4.4999999999999998E-2</v>
      </c>
      <c r="J304" s="1">
        <v>0.42059999999999997</v>
      </c>
    </row>
    <row r="305" spans="1:10" x14ac:dyDescent="0.2">
      <c r="A305" t="str">
        <f>"15/06/2025"</f>
        <v>15/06/2025</v>
      </c>
      <c r="B305">
        <v>1</v>
      </c>
      <c r="C305">
        <v>80000</v>
      </c>
      <c r="D305">
        <v>191473</v>
      </c>
      <c r="E305">
        <v>80000</v>
      </c>
      <c r="F305">
        <v>80000</v>
      </c>
      <c r="G305" s="1">
        <v>4.4999999999999998E-2</v>
      </c>
      <c r="H305" s="1">
        <v>4.4999999999999998E-2</v>
      </c>
      <c r="I305" s="1">
        <v>4.4999999999999998E-2</v>
      </c>
      <c r="J305" s="1">
        <v>0.36969999999999997</v>
      </c>
    </row>
    <row r="306" spans="1:10" x14ac:dyDescent="0.2">
      <c r="A306" t="str">
        <f>"12/06/2025"</f>
        <v>12/06/2025</v>
      </c>
      <c r="B306">
        <v>3</v>
      </c>
      <c r="C306">
        <v>83000</v>
      </c>
      <c r="D306">
        <v>225217</v>
      </c>
      <c r="E306">
        <v>83000</v>
      </c>
      <c r="F306">
        <v>83000</v>
      </c>
      <c r="G306" s="1">
        <v>4.4999999999999998E-2</v>
      </c>
      <c r="H306" s="1">
        <v>4.4999999999999998E-2</v>
      </c>
      <c r="I306" s="1">
        <v>4.4999999999999998E-2</v>
      </c>
      <c r="J306" s="1">
        <v>0.33229999999999998</v>
      </c>
    </row>
    <row r="307" spans="1:10" x14ac:dyDescent="0.2">
      <c r="A307" t="str">
        <f>"11/06/2025"</f>
        <v>11/06/2025</v>
      </c>
      <c r="B307">
        <v>1</v>
      </c>
      <c r="C307">
        <v>85000</v>
      </c>
      <c r="D307">
        <v>221206</v>
      </c>
      <c r="E307">
        <v>85000</v>
      </c>
      <c r="F307">
        <v>85000</v>
      </c>
      <c r="G307" s="1">
        <v>4.4999999999999998E-2</v>
      </c>
      <c r="H307" s="1">
        <v>4.4999999999999998E-2</v>
      </c>
      <c r="I307" s="1">
        <v>4.4999999999999998E-2</v>
      </c>
      <c r="J307" s="1">
        <v>0.29220000000000002</v>
      </c>
    </row>
    <row r="308" spans="1:10" x14ac:dyDescent="0.2">
      <c r="A308" t="str">
        <f>"10/06/2025"</f>
        <v>10/06/2025</v>
      </c>
      <c r="B308">
        <v>1</v>
      </c>
      <c r="C308">
        <v>85000</v>
      </c>
      <c r="D308">
        <v>216756</v>
      </c>
      <c r="E308">
        <v>85000</v>
      </c>
      <c r="F308">
        <v>85000</v>
      </c>
      <c r="G308" s="1">
        <v>4.4999999999999998E-2</v>
      </c>
      <c r="H308" s="1">
        <v>4.4999999999999998E-2</v>
      </c>
      <c r="I308" s="1">
        <v>4.4999999999999998E-2</v>
      </c>
      <c r="J308" s="1">
        <v>0.28520000000000001</v>
      </c>
    </row>
    <row r="309" spans="1:10" x14ac:dyDescent="0.2">
      <c r="A309" t="str">
        <f>"09/06/2025"</f>
        <v>09/06/2025</v>
      </c>
      <c r="B309">
        <v>1</v>
      </c>
      <c r="C309">
        <v>85000</v>
      </c>
      <c r="D309">
        <v>208799</v>
      </c>
      <c r="E309">
        <v>85000</v>
      </c>
      <c r="F309">
        <v>85000</v>
      </c>
      <c r="G309" s="1">
        <v>4.4999999999999998E-2</v>
      </c>
      <c r="H309" s="1">
        <v>4.4999999999999998E-2</v>
      </c>
      <c r="I309" s="1">
        <v>4.4999999999999998E-2</v>
      </c>
      <c r="J309" s="1">
        <v>0.29959999999999998</v>
      </c>
    </row>
    <row r="310" spans="1:10" x14ac:dyDescent="0.2">
      <c r="A310" t="str">
        <f>"08/06/2025"</f>
        <v>08/06/2025</v>
      </c>
      <c r="B310">
        <v>1</v>
      </c>
      <c r="C310">
        <v>86000</v>
      </c>
      <c r="D310">
        <v>193951</v>
      </c>
      <c r="E310">
        <v>86000</v>
      </c>
      <c r="F310">
        <v>86000</v>
      </c>
      <c r="G310" s="1">
        <v>4.4999999999999998E-2</v>
      </c>
      <c r="H310" s="1">
        <v>4.4999999999999998E-2</v>
      </c>
      <c r="I310" s="1">
        <v>4.4999999999999998E-2</v>
      </c>
      <c r="J310" s="1">
        <v>0.3377</v>
      </c>
    </row>
    <row r="311" spans="1:10" x14ac:dyDescent="0.2">
      <c r="A311" t="str">
        <f>"05/06/2025"</f>
        <v>05/06/2025</v>
      </c>
      <c r="B311">
        <v>3</v>
      </c>
      <c r="C311">
        <v>86000</v>
      </c>
      <c r="D311">
        <v>191142</v>
      </c>
      <c r="E311">
        <v>86000</v>
      </c>
      <c r="F311">
        <v>86000</v>
      </c>
      <c r="G311" s="1">
        <v>4.4999999999999998E-2</v>
      </c>
      <c r="H311" s="1">
        <v>4.4999999999999998E-2</v>
      </c>
      <c r="I311" s="1">
        <v>4.4999999999999998E-2</v>
      </c>
      <c r="J311" s="1">
        <v>0.33629999999999999</v>
      </c>
    </row>
    <row r="312" spans="1:10" x14ac:dyDescent="0.2">
      <c r="A312" t="str">
        <f>"04/06/2025"</f>
        <v>04/06/2025</v>
      </c>
      <c r="B312">
        <v>1</v>
      </c>
      <c r="C312">
        <v>84000</v>
      </c>
      <c r="D312">
        <v>232890</v>
      </c>
      <c r="E312">
        <v>84000</v>
      </c>
      <c r="F312">
        <v>84000</v>
      </c>
      <c r="G312" s="1">
        <v>4.4999999999999998E-2</v>
      </c>
      <c r="H312" s="1">
        <v>4.4999999999999998E-2</v>
      </c>
      <c r="I312" s="1">
        <v>4.4999999999999998E-2</v>
      </c>
      <c r="J312" s="1">
        <v>0.31840000000000002</v>
      </c>
    </row>
    <row r="313" spans="1:10" x14ac:dyDescent="0.2">
      <c r="A313" t="str">
        <f>"03/06/2025"</f>
        <v>03/06/2025</v>
      </c>
      <c r="B313">
        <v>1</v>
      </c>
      <c r="C313">
        <v>85000</v>
      </c>
      <c r="D313">
        <v>226368</v>
      </c>
      <c r="E313">
        <v>85000</v>
      </c>
      <c r="F313">
        <v>85000</v>
      </c>
      <c r="G313" s="1">
        <v>4.4999999999999998E-2</v>
      </c>
      <c r="H313" s="1">
        <v>4.4999999999999998E-2</v>
      </c>
      <c r="I313" s="1">
        <v>4.4999999999999998E-2</v>
      </c>
      <c r="J313" s="1">
        <v>0.33329999999999999</v>
      </c>
    </row>
    <row r="314" spans="1:10" x14ac:dyDescent="0.2">
      <c r="A314" t="str">
        <f>"01/06/2025"</f>
        <v>01/06/2025</v>
      </c>
      <c r="B314">
        <v>2</v>
      </c>
      <c r="C314">
        <v>18000</v>
      </c>
      <c r="D314">
        <v>44028</v>
      </c>
      <c r="E314">
        <v>18000</v>
      </c>
      <c r="F314">
        <v>18000</v>
      </c>
      <c r="G314" s="1">
        <v>4.4999999999999998E-2</v>
      </c>
      <c r="H314" s="1">
        <v>4.4999999999999998E-2</v>
      </c>
      <c r="I314" s="1">
        <v>4.4999999999999998E-2</v>
      </c>
      <c r="J314" s="1">
        <v>0.31140000000000001</v>
      </c>
    </row>
    <row r="315" spans="1:10" x14ac:dyDescent="0.2">
      <c r="A315" t="str">
        <f>"29/05/2025"</f>
        <v>29/05/2025</v>
      </c>
      <c r="B315">
        <v>5</v>
      </c>
      <c r="C315">
        <v>72000</v>
      </c>
      <c r="D315">
        <v>136622</v>
      </c>
      <c r="E315">
        <v>72000</v>
      </c>
      <c r="F315">
        <v>72000</v>
      </c>
      <c r="G315" s="1">
        <v>4.4999999999999998E-2</v>
      </c>
      <c r="H315" s="1">
        <v>4.4999999999999998E-2</v>
      </c>
      <c r="I315" s="1">
        <v>4.4999999999999998E-2</v>
      </c>
      <c r="J315" s="1">
        <v>0.47939999999999999</v>
      </c>
    </row>
    <row r="316" spans="1:10" x14ac:dyDescent="0.2">
      <c r="A316" t="str">
        <f>"28/05/2025"</f>
        <v>28/05/2025</v>
      </c>
      <c r="B316">
        <v>1</v>
      </c>
      <c r="C316">
        <v>67000</v>
      </c>
      <c r="D316">
        <v>61841</v>
      </c>
      <c r="E316">
        <v>61841</v>
      </c>
      <c r="F316">
        <v>61841</v>
      </c>
      <c r="G316" s="1">
        <v>4.4999999999999998E-2</v>
      </c>
      <c r="H316" s="1">
        <v>4.4999999999999998E-2</v>
      </c>
      <c r="I316" s="1">
        <v>4.4999999999999998E-2</v>
      </c>
      <c r="J316" s="1">
        <v>1</v>
      </c>
    </row>
    <row r="317" spans="1:10" x14ac:dyDescent="0.2">
      <c r="A317" t="str">
        <f>"27/05/2025"</f>
        <v>27/05/2025</v>
      </c>
      <c r="B317">
        <v>1</v>
      </c>
      <c r="C317">
        <v>58000</v>
      </c>
      <c r="D317">
        <v>130778</v>
      </c>
      <c r="E317">
        <v>58000</v>
      </c>
      <c r="F317">
        <v>58000</v>
      </c>
      <c r="G317" s="1">
        <v>4.4999999999999998E-2</v>
      </c>
      <c r="H317" s="1">
        <v>4.4999999999999998E-2</v>
      </c>
      <c r="I317" s="1">
        <v>4.4999999999999998E-2</v>
      </c>
      <c r="J317" s="1">
        <v>0.36709999999999998</v>
      </c>
    </row>
    <row r="318" spans="1:10" x14ac:dyDescent="0.2">
      <c r="A318" t="str">
        <f>"26/05/2025"</f>
        <v>26/05/2025</v>
      </c>
      <c r="B318">
        <v>1</v>
      </c>
      <c r="C318">
        <v>62000</v>
      </c>
      <c r="D318">
        <v>147862</v>
      </c>
      <c r="E318">
        <v>62000</v>
      </c>
      <c r="F318">
        <v>62000</v>
      </c>
      <c r="G318" s="1">
        <v>4.4999999999999998E-2</v>
      </c>
      <c r="H318" s="1">
        <v>4.4999999999999998E-2</v>
      </c>
      <c r="I318" s="1">
        <v>4.4999999999999998E-2</v>
      </c>
      <c r="J318" s="1">
        <v>0.34050000000000002</v>
      </c>
    </row>
    <row r="319" spans="1:10" x14ac:dyDescent="0.2">
      <c r="A319" t="str">
        <f>"25/05/2025"</f>
        <v>25/05/2025</v>
      </c>
      <c r="B319">
        <v>1</v>
      </c>
      <c r="C319">
        <v>62000</v>
      </c>
      <c r="D319">
        <v>169671</v>
      </c>
      <c r="E319">
        <v>62000</v>
      </c>
      <c r="F319">
        <v>62000</v>
      </c>
      <c r="G319" s="1">
        <v>4.4999999999999998E-2</v>
      </c>
      <c r="H319" s="1">
        <v>4.4999999999999998E-2</v>
      </c>
      <c r="I319" s="1">
        <v>4.4999999999999998E-2</v>
      </c>
      <c r="J319" s="1">
        <v>0.2994</v>
      </c>
    </row>
    <row r="320" spans="1:10" x14ac:dyDescent="0.2">
      <c r="A320" t="str">
        <f>"22/05/2025"</f>
        <v>22/05/2025</v>
      </c>
      <c r="B320">
        <v>3</v>
      </c>
      <c r="C320">
        <v>62000</v>
      </c>
      <c r="D320">
        <v>159102</v>
      </c>
      <c r="E320">
        <v>62000</v>
      </c>
      <c r="F320">
        <v>62000</v>
      </c>
      <c r="G320" s="1">
        <v>4.4999999999999998E-2</v>
      </c>
      <c r="H320" s="1">
        <v>4.4999999999999998E-2</v>
      </c>
      <c r="I320" s="1">
        <v>4.4999999999999998E-2</v>
      </c>
      <c r="J320" s="1">
        <v>0.30719999999999997</v>
      </c>
    </row>
    <row r="321" spans="1:10" x14ac:dyDescent="0.2">
      <c r="A321" t="str">
        <f>"21/05/2025"</f>
        <v>21/05/2025</v>
      </c>
      <c r="B321">
        <v>1</v>
      </c>
      <c r="C321">
        <v>64000</v>
      </c>
      <c r="D321">
        <v>204987</v>
      </c>
      <c r="E321">
        <v>64000</v>
      </c>
      <c r="F321">
        <v>64000</v>
      </c>
      <c r="G321" s="1">
        <v>4.4999999999999998E-2</v>
      </c>
      <c r="H321" s="1">
        <v>4.4999999999999998E-2</v>
      </c>
      <c r="I321" s="1">
        <v>4.4999999999999998E-2</v>
      </c>
      <c r="J321" s="1">
        <v>0.2545</v>
      </c>
    </row>
    <row r="322" spans="1:10" x14ac:dyDescent="0.2">
      <c r="A322" t="str">
        <f>"20/05/2025"</f>
        <v>20/05/2025</v>
      </c>
      <c r="B322">
        <v>1</v>
      </c>
      <c r="C322">
        <v>65000</v>
      </c>
      <c r="D322">
        <v>193331</v>
      </c>
      <c r="E322">
        <v>65000</v>
      </c>
      <c r="F322">
        <v>65000</v>
      </c>
      <c r="G322" s="1">
        <v>4.4999999999999998E-2</v>
      </c>
      <c r="H322" s="1">
        <v>4.4999999999999998E-2</v>
      </c>
      <c r="I322" s="1">
        <v>4.4999999999999998E-2</v>
      </c>
      <c r="J322" s="1">
        <v>0.27179999999999999</v>
      </c>
    </row>
    <row r="323" spans="1:10" x14ac:dyDescent="0.2">
      <c r="A323" t="str">
        <f>"19/05/2025"</f>
        <v>19/05/2025</v>
      </c>
      <c r="B323">
        <v>1</v>
      </c>
      <c r="C323">
        <v>74000</v>
      </c>
      <c r="D323">
        <v>198821</v>
      </c>
      <c r="E323">
        <v>74000</v>
      </c>
      <c r="F323">
        <v>74000</v>
      </c>
      <c r="G323" s="1">
        <v>4.4999999999999998E-2</v>
      </c>
      <c r="H323" s="1">
        <v>4.4999999999999998E-2</v>
      </c>
      <c r="I323" s="1">
        <v>4.4999999999999998E-2</v>
      </c>
      <c r="J323" s="1">
        <v>0.31859999999999999</v>
      </c>
    </row>
    <row r="324" spans="1:10" x14ac:dyDescent="0.2">
      <c r="A324" t="str">
        <f>"18/05/2025"</f>
        <v>18/05/2025</v>
      </c>
      <c r="B324">
        <v>1</v>
      </c>
      <c r="C324">
        <v>75000</v>
      </c>
      <c r="D324">
        <v>185434</v>
      </c>
      <c r="E324">
        <v>75000</v>
      </c>
      <c r="F324">
        <v>75000</v>
      </c>
      <c r="G324" s="1">
        <v>4.4999999999999998E-2</v>
      </c>
      <c r="H324" s="1">
        <v>4.4999999999999998E-2</v>
      </c>
      <c r="I324" s="1">
        <v>4.4999999999999998E-2</v>
      </c>
      <c r="J324" s="1">
        <v>0.34989999999999999</v>
      </c>
    </row>
    <row r="325" spans="1:10" x14ac:dyDescent="0.2">
      <c r="A325" t="str">
        <f>"15/05/2025"</f>
        <v>15/05/2025</v>
      </c>
      <c r="B325">
        <v>3</v>
      </c>
      <c r="C325">
        <v>81000</v>
      </c>
      <c r="D325">
        <v>204158</v>
      </c>
      <c r="E325">
        <v>81000</v>
      </c>
      <c r="F325">
        <v>81000</v>
      </c>
      <c r="G325" s="1">
        <v>4.4999999999999998E-2</v>
      </c>
      <c r="H325" s="1">
        <v>4.4999999999999998E-2</v>
      </c>
      <c r="I325" s="1">
        <v>4.4999999999999998E-2</v>
      </c>
      <c r="J325" s="1">
        <v>0.34589999999999999</v>
      </c>
    </row>
    <row r="326" spans="1:10" x14ac:dyDescent="0.2">
      <c r="A326" t="str">
        <f>"14/05/2025"</f>
        <v>14/05/2025</v>
      </c>
      <c r="B326">
        <v>1</v>
      </c>
      <c r="C326">
        <v>81000</v>
      </c>
      <c r="D326">
        <v>211098</v>
      </c>
      <c r="E326">
        <v>81000</v>
      </c>
      <c r="F326">
        <v>81000</v>
      </c>
      <c r="G326" s="1">
        <v>4.4999999999999998E-2</v>
      </c>
      <c r="H326" s="1">
        <v>4.4999999999999998E-2</v>
      </c>
      <c r="I326" s="1">
        <v>4.4999999999999998E-2</v>
      </c>
      <c r="J326" s="1">
        <v>0.30690000000000001</v>
      </c>
    </row>
    <row r="327" spans="1:10" x14ac:dyDescent="0.2">
      <c r="A327" t="str">
        <f>"13/05/2025"</f>
        <v>13/05/2025</v>
      </c>
      <c r="B327">
        <v>1</v>
      </c>
      <c r="C327">
        <v>84000</v>
      </c>
      <c r="D327">
        <v>205710</v>
      </c>
      <c r="E327">
        <v>84000</v>
      </c>
      <c r="F327">
        <v>84000</v>
      </c>
      <c r="G327" s="1">
        <v>4.4999999999999998E-2</v>
      </c>
      <c r="H327" s="1">
        <v>4.4999999999999998E-2</v>
      </c>
      <c r="I327" s="1">
        <v>4.4999999999999998E-2</v>
      </c>
      <c r="J327" s="1">
        <v>0.34589999999999999</v>
      </c>
    </row>
    <row r="328" spans="1:10" x14ac:dyDescent="0.2">
      <c r="A328" t="str">
        <f>"12/05/2025"</f>
        <v>12/05/2025</v>
      </c>
      <c r="B328">
        <v>1</v>
      </c>
      <c r="C328">
        <v>85000</v>
      </c>
      <c r="D328">
        <v>206540</v>
      </c>
      <c r="E328">
        <v>85000</v>
      </c>
      <c r="F328">
        <v>85000</v>
      </c>
      <c r="G328" s="1">
        <v>4.4999999999999998E-2</v>
      </c>
      <c r="H328" s="1">
        <v>4.4999999999999998E-2</v>
      </c>
      <c r="I328" s="1">
        <v>4.4999999999999998E-2</v>
      </c>
      <c r="J328" s="1">
        <v>0.36230000000000001</v>
      </c>
    </row>
    <row r="329" spans="1:10" x14ac:dyDescent="0.2">
      <c r="A329" t="str">
        <f>"11/05/2025"</f>
        <v>11/05/2025</v>
      </c>
      <c r="B329">
        <v>1</v>
      </c>
      <c r="C329">
        <v>85000</v>
      </c>
      <c r="D329">
        <v>209847</v>
      </c>
      <c r="E329">
        <v>85000</v>
      </c>
      <c r="F329">
        <v>85000</v>
      </c>
      <c r="G329" s="1">
        <v>4.4999999999999998E-2</v>
      </c>
      <c r="H329" s="1">
        <v>4.4999999999999998E-2</v>
      </c>
      <c r="I329" s="1">
        <v>4.4999999999999998E-2</v>
      </c>
      <c r="J329" s="1">
        <v>0.34910000000000002</v>
      </c>
    </row>
    <row r="330" spans="1:10" x14ac:dyDescent="0.2">
      <c r="A330" t="str">
        <f>"08/05/2025"</f>
        <v>08/05/2025</v>
      </c>
      <c r="B330">
        <v>3</v>
      </c>
      <c r="C330">
        <v>86000</v>
      </c>
      <c r="D330">
        <v>255172</v>
      </c>
      <c r="E330">
        <v>86000</v>
      </c>
      <c r="F330">
        <v>86000</v>
      </c>
      <c r="G330" s="1">
        <v>4.4999999999999998E-2</v>
      </c>
      <c r="H330" s="1">
        <v>4.4999999999999998E-2</v>
      </c>
      <c r="I330" s="1">
        <v>4.4999999999999998E-2</v>
      </c>
      <c r="J330" s="1">
        <v>0.29339999999999999</v>
      </c>
    </row>
    <row r="331" spans="1:10" x14ac:dyDescent="0.2">
      <c r="A331" t="str">
        <f>"07/05/2025"</f>
        <v>07/05/2025</v>
      </c>
      <c r="B331">
        <v>1</v>
      </c>
      <c r="C331">
        <v>87000</v>
      </c>
      <c r="D331">
        <v>261151</v>
      </c>
      <c r="E331">
        <v>87000</v>
      </c>
      <c r="F331">
        <v>87000</v>
      </c>
      <c r="G331" s="1">
        <v>4.4999999999999998E-2</v>
      </c>
      <c r="H331" s="1">
        <v>4.4999999999999998E-2</v>
      </c>
      <c r="I331" s="1">
        <v>4.4999999999999998E-2</v>
      </c>
      <c r="J331" s="1">
        <v>0.26700000000000002</v>
      </c>
    </row>
    <row r="332" spans="1:10" x14ac:dyDescent="0.2">
      <c r="A332" t="str">
        <f>"06/05/2025"</f>
        <v>06/05/2025</v>
      </c>
      <c r="B332">
        <v>1</v>
      </c>
      <c r="C332">
        <v>86000</v>
      </c>
      <c r="D332">
        <v>255271</v>
      </c>
      <c r="E332">
        <v>86000</v>
      </c>
      <c r="F332">
        <v>86000</v>
      </c>
      <c r="G332" s="1">
        <v>4.4999999999999998E-2</v>
      </c>
      <c r="H332" s="1">
        <v>4.4999999999999998E-2</v>
      </c>
      <c r="I332" s="1">
        <v>4.4999999999999998E-2</v>
      </c>
      <c r="J332" s="1">
        <v>0.26900000000000002</v>
      </c>
    </row>
    <row r="333" spans="1:10" x14ac:dyDescent="0.2">
      <c r="A333" t="str">
        <f>"05/05/2025"</f>
        <v>05/05/2025</v>
      </c>
      <c r="B333">
        <v>1</v>
      </c>
      <c r="C333">
        <v>85000</v>
      </c>
      <c r="D333">
        <v>229009</v>
      </c>
      <c r="E333">
        <v>85000</v>
      </c>
      <c r="F333">
        <v>85000</v>
      </c>
      <c r="G333" s="1">
        <v>4.4999999999999998E-2</v>
      </c>
      <c r="H333" s="1">
        <v>4.4999999999999998E-2</v>
      </c>
      <c r="I333" s="1">
        <v>4.4999999999999998E-2</v>
      </c>
      <c r="J333" s="1">
        <v>0.29680000000000001</v>
      </c>
    </row>
    <row r="334" spans="1:10" x14ac:dyDescent="0.2">
      <c r="A334" t="str">
        <f>"04/05/2025"</f>
        <v>04/05/2025</v>
      </c>
      <c r="B334">
        <v>1</v>
      </c>
      <c r="C334">
        <v>81000</v>
      </c>
      <c r="D334">
        <v>197284</v>
      </c>
      <c r="E334">
        <v>81000</v>
      </c>
      <c r="F334">
        <v>81000</v>
      </c>
      <c r="G334" s="1">
        <v>4.4999999999999998E-2</v>
      </c>
      <c r="H334" s="1">
        <v>4.4999999999999998E-2</v>
      </c>
      <c r="I334" s="1">
        <v>4.4999999999999998E-2</v>
      </c>
      <c r="J334" s="1">
        <v>0.34079999999999999</v>
      </c>
    </row>
    <row r="335" spans="1:10" x14ac:dyDescent="0.2">
      <c r="A335" t="str">
        <f>"02/05/2025"</f>
        <v>02/05/2025</v>
      </c>
      <c r="B335">
        <v>2</v>
      </c>
      <c r="C335">
        <v>20000</v>
      </c>
      <c r="D335">
        <v>34238</v>
      </c>
      <c r="E335">
        <v>20000</v>
      </c>
      <c r="F335">
        <v>20000</v>
      </c>
      <c r="G335" s="1">
        <v>4.4999999999999998E-2</v>
      </c>
      <c r="H335" s="1">
        <v>4.4999999999999998E-2</v>
      </c>
      <c r="I335" s="1">
        <v>4.4999999999999998E-2</v>
      </c>
      <c r="J335" s="1">
        <v>0.54069999999999996</v>
      </c>
    </row>
    <row r="336" spans="1:10" x14ac:dyDescent="0.2">
      <c r="A336" t="str">
        <f>"29/04/2025"</f>
        <v>29/04/2025</v>
      </c>
      <c r="B336">
        <v>5</v>
      </c>
      <c r="C336">
        <v>64000</v>
      </c>
      <c r="D336">
        <v>127223</v>
      </c>
      <c r="E336">
        <v>64000</v>
      </c>
      <c r="F336">
        <v>64000</v>
      </c>
      <c r="G336" s="1">
        <v>4.4999999999999998E-2</v>
      </c>
      <c r="H336" s="1">
        <v>4.4999999999999998E-2</v>
      </c>
      <c r="I336" s="1">
        <v>4.4999999999999998E-2</v>
      </c>
      <c r="J336" s="1">
        <v>0.43540000000000001</v>
      </c>
    </row>
    <row r="337" spans="1:10" x14ac:dyDescent="0.2">
      <c r="A337" t="str">
        <f>"28/04/2025"</f>
        <v>28/04/2025</v>
      </c>
      <c r="B337">
        <v>1</v>
      </c>
      <c r="C337">
        <v>61000</v>
      </c>
      <c r="D337">
        <v>122206</v>
      </c>
      <c r="E337">
        <v>61000</v>
      </c>
      <c r="F337">
        <v>61000</v>
      </c>
      <c r="G337" s="1">
        <v>4.4999999999999998E-2</v>
      </c>
      <c r="H337" s="1">
        <v>4.4999999999999998E-2</v>
      </c>
      <c r="I337" s="1">
        <v>4.4999999999999998E-2</v>
      </c>
      <c r="J337" s="1">
        <v>0.4113</v>
      </c>
    </row>
    <row r="338" spans="1:10" x14ac:dyDescent="0.2">
      <c r="A338" t="str">
        <f>"27/04/2025"</f>
        <v>27/04/2025</v>
      </c>
      <c r="B338">
        <v>1</v>
      </c>
      <c r="C338">
        <v>60000</v>
      </c>
      <c r="D338">
        <v>116726</v>
      </c>
      <c r="E338">
        <v>60000</v>
      </c>
      <c r="F338">
        <v>60000</v>
      </c>
      <c r="G338" s="1">
        <v>4.4999999999999998E-2</v>
      </c>
      <c r="H338" s="1">
        <v>4.4999999999999998E-2</v>
      </c>
      <c r="I338" s="1">
        <v>4.4999999999999998E-2</v>
      </c>
      <c r="J338" s="1">
        <v>0.43140000000000001</v>
      </c>
    </row>
    <row r="339" spans="1:10" x14ac:dyDescent="0.2">
      <c r="A339" t="str">
        <f>"24/04/2025"</f>
        <v>24/04/2025</v>
      </c>
      <c r="B339">
        <v>3</v>
      </c>
      <c r="C339">
        <v>74000</v>
      </c>
      <c r="D339">
        <v>153972</v>
      </c>
      <c r="E339">
        <v>74000</v>
      </c>
      <c r="F339">
        <v>74000</v>
      </c>
      <c r="G339" s="1">
        <v>4.4999999999999998E-2</v>
      </c>
      <c r="H339" s="1">
        <v>4.4999999999999998E-2</v>
      </c>
      <c r="I339" s="1">
        <v>4.4999999999999998E-2</v>
      </c>
      <c r="J339" s="1">
        <v>0.40799999999999997</v>
      </c>
    </row>
    <row r="340" spans="1:10" x14ac:dyDescent="0.2">
      <c r="A340" t="str">
        <f>"23/04/2025"</f>
        <v>23/04/2025</v>
      </c>
      <c r="B340">
        <v>1</v>
      </c>
      <c r="C340">
        <v>85000</v>
      </c>
      <c r="D340">
        <v>188099</v>
      </c>
      <c r="E340">
        <v>85000</v>
      </c>
      <c r="F340">
        <v>85000</v>
      </c>
      <c r="G340" s="1">
        <v>4.4999999999999998E-2</v>
      </c>
      <c r="H340" s="1">
        <v>4.4999999999999998E-2</v>
      </c>
      <c r="I340" s="1">
        <v>4.4999999999999998E-2</v>
      </c>
      <c r="J340" s="1">
        <v>0.38879999999999998</v>
      </c>
    </row>
    <row r="341" spans="1:10" x14ac:dyDescent="0.2">
      <c r="A341" t="str">
        <f>"22/04/2025"</f>
        <v>22/04/2025</v>
      </c>
      <c r="B341">
        <v>1</v>
      </c>
      <c r="C341">
        <v>83000</v>
      </c>
      <c r="D341">
        <v>187455</v>
      </c>
      <c r="E341">
        <v>83000</v>
      </c>
      <c r="F341">
        <v>83000</v>
      </c>
      <c r="G341" s="1">
        <v>4.4999999999999998E-2</v>
      </c>
      <c r="H341" s="1">
        <v>4.4999999999999998E-2</v>
      </c>
      <c r="I341" s="1">
        <v>4.4999999999999998E-2</v>
      </c>
      <c r="J341" s="1">
        <v>0.37790000000000001</v>
      </c>
    </row>
    <row r="342" spans="1:10" x14ac:dyDescent="0.2">
      <c r="A342" t="str">
        <f>"21/04/2025"</f>
        <v>21/04/2025</v>
      </c>
      <c r="B342">
        <v>1</v>
      </c>
      <c r="C342">
        <v>84000</v>
      </c>
      <c r="D342">
        <v>180496</v>
      </c>
      <c r="E342">
        <v>84000</v>
      </c>
      <c r="F342">
        <v>84000</v>
      </c>
      <c r="G342" s="1">
        <v>4.4999999999999998E-2</v>
      </c>
      <c r="H342" s="1">
        <v>4.4999999999999998E-2</v>
      </c>
      <c r="I342" s="1">
        <v>4.4999999999999998E-2</v>
      </c>
      <c r="J342" s="1">
        <v>0.39069999999999999</v>
      </c>
    </row>
    <row r="343" spans="1:10" x14ac:dyDescent="0.2">
      <c r="A343" t="str">
        <f>"20/04/2025"</f>
        <v>20/04/2025</v>
      </c>
      <c r="B343">
        <v>1</v>
      </c>
      <c r="C343">
        <v>85000</v>
      </c>
      <c r="D343">
        <v>185697</v>
      </c>
      <c r="E343">
        <v>85000</v>
      </c>
      <c r="F343">
        <v>85000</v>
      </c>
      <c r="G343" s="1">
        <v>4.4999999999999998E-2</v>
      </c>
      <c r="H343" s="1">
        <v>4.4999999999999998E-2</v>
      </c>
      <c r="I343" s="1">
        <v>4.4999999999999998E-2</v>
      </c>
      <c r="J343" s="1">
        <v>0.39019999999999999</v>
      </c>
    </row>
    <row r="344" spans="1:10" x14ac:dyDescent="0.2">
      <c r="A344" t="str">
        <f>"17/04/2025"</f>
        <v>17/04/2025</v>
      </c>
      <c r="B344">
        <v>3</v>
      </c>
      <c r="C344">
        <v>84000</v>
      </c>
      <c r="D344">
        <v>171106</v>
      </c>
      <c r="E344">
        <v>84000</v>
      </c>
      <c r="F344">
        <v>84000</v>
      </c>
      <c r="G344" s="1">
        <v>4.4999999999999998E-2</v>
      </c>
      <c r="H344" s="1">
        <v>4.4999999999999998E-2</v>
      </c>
      <c r="I344" s="1">
        <v>4.4999999999999998E-2</v>
      </c>
      <c r="J344" s="1">
        <v>0.43769999999999998</v>
      </c>
    </row>
    <row r="345" spans="1:10" x14ac:dyDescent="0.2">
      <c r="A345" t="str">
        <f>"16/04/2025"</f>
        <v>16/04/2025</v>
      </c>
      <c r="B345">
        <v>1</v>
      </c>
      <c r="C345">
        <v>86000</v>
      </c>
      <c r="D345">
        <v>183695</v>
      </c>
      <c r="E345">
        <v>86000</v>
      </c>
      <c r="F345">
        <v>86000</v>
      </c>
      <c r="G345" s="1">
        <v>4.4999999999999998E-2</v>
      </c>
      <c r="H345" s="1">
        <v>4.4999999999999998E-2</v>
      </c>
      <c r="I345" s="1">
        <v>4.4999999999999998E-2</v>
      </c>
      <c r="J345" s="1">
        <v>0.41639999999999999</v>
      </c>
    </row>
    <row r="346" spans="1:10" x14ac:dyDescent="0.2">
      <c r="A346" t="str">
        <f>"15/04/2025"</f>
        <v>15/04/2025</v>
      </c>
      <c r="B346">
        <v>1</v>
      </c>
      <c r="C346">
        <v>86000</v>
      </c>
      <c r="D346">
        <v>185653</v>
      </c>
      <c r="E346">
        <v>86000</v>
      </c>
      <c r="F346">
        <v>86000</v>
      </c>
      <c r="G346" s="1">
        <v>4.4999999999999998E-2</v>
      </c>
      <c r="H346" s="1">
        <v>4.4999999999999998E-2</v>
      </c>
      <c r="I346" s="1">
        <v>4.4999999999999998E-2</v>
      </c>
      <c r="J346" s="1">
        <v>0.40350000000000003</v>
      </c>
    </row>
    <row r="347" spans="1:10" x14ac:dyDescent="0.2">
      <c r="A347" t="str">
        <f>"14/04/2025"</f>
        <v>14/04/2025</v>
      </c>
      <c r="B347">
        <v>1</v>
      </c>
      <c r="C347">
        <v>85000</v>
      </c>
      <c r="D347">
        <v>175297</v>
      </c>
      <c r="E347">
        <v>85000</v>
      </c>
      <c r="F347">
        <v>85000</v>
      </c>
      <c r="G347" s="1">
        <v>4.4999999999999998E-2</v>
      </c>
      <c r="H347" s="1">
        <v>4.4999999999999998E-2</v>
      </c>
      <c r="I347" s="1">
        <v>4.4999999999999998E-2</v>
      </c>
      <c r="J347" s="1">
        <v>0.4073</v>
      </c>
    </row>
    <row r="348" spans="1:10" x14ac:dyDescent="0.2">
      <c r="A348" t="str">
        <f>"10/04/2025"</f>
        <v>10/04/2025</v>
      </c>
      <c r="B348">
        <v>4</v>
      </c>
      <c r="C348">
        <v>83000</v>
      </c>
      <c r="D348">
        <v>173876</v>
      </c>
      <c r="E348">
        <v>83000</v>
      </c>
      <c r="F348">
        <v>83000</v>
      </c>
      <c r="G348" s="1">
        <v>4.4999999999999998E-2</v>
      </c>
      <c r="H348" s="1">
        <v>4.4999999999999998E-2</v>
      </c>
      <c r="I348" s="1">
        <v>4.4999999999999998E-2</v>
      </c>
      <c r="J348" s="1">
        <v>0.42159999999999997</v>
      </c>
    </row>
    <row r="349" spans="1:10" x14ac:dyDescent="0.2">
      <c r="A349" t="str">
        <f>"09/04/2025"</f>
        <v>09/04/2025</v>
      </c>
      <c r="B349">
        <v>1</v>
      </c>
      <c r="C349">
        <v>83000</v>
      </c>
      <c r="D349">
        <v>76371</v>
      </c>
      <c r="E349">
        <v>76371</v>
      </c>
      <c r="F349">
        <v>76371</v>
      </c>
      <c r="G349" s="1">
        <v>4.4999999999999998E-2</v>
      </c>
      <c r="H349" s="1">
        <v>4.4999999999999998E-2</v>
      </c>
      <c r="I349" s="1">
        <v>4.4999999999999998E-2</v>
      </c>
      <c r="J349" s="1">
        <v>1</v>
      </c>
    </row>
    <row r="350" spans="1:10" x14ac:dyDescent="0.2">
      <c r="A350" t="str">
        <f>"08/04/2025"</f>
        <v>08/04/2025</v>
      </c>
      <c r="B350">
        <v>1</v>
      </c>
      <c r="C350">
        <v>78000</v>
      </c>
      <c r="D350">
        <v>155874</v>
      </c>
      <c r="E350">
        <v>78000</v>
      </c>
      <c r="F350">
        <v>78000</v>
      </c>
      <c r="G350" s="1">
        <v>4.4999999999999998E-2</v>
      </c>
      <c r="H350" s="1">
        <v>4.4999999999999998E-2</v>
      </c>
      <c r="I350" s="1">
        <v>4.4999999999999998E-2</v>
      </c>
      <c r="J350" s="1">
        <v>0.38679999999999998</v>
      </c>
    </row>
    <row r="351" spans="1:10" x14ac:dyDescent="0.2">
      <c r="A351" t="str">
        <f>"07/04/2025"</f>
        <v>07/04/2025</v>
      </c>
      <c r="B351">
        <v>1</v>
      </c>
      <c r="C351">
        <v>82000</v>
      </c>
      <c r="D351">
        <v>158910</v>
      </c>
      <c r="E351">
        <v>82000</v>
      </c>
      <c r="F351">
        <v>82000</v>
      </c>
      <c r="G351" s="1">
        <v>4.4999999999999998E-2</v>
      </c>
      <c r="H351" s="1">
        <v>4.4999999999999998E-2</v>
      </c>
      <c r="I351" s="1">
        <v>4.4999999999999998E-2</v>
      </c>
      <c r="J351" s="1">
        <v>0.437</v>
      </c>
    </row>
    <row r="352" spans="1:10" x14ac:dyDescent="0.2">
      <c r="A352" t="str">
        <f>"06/04/2025"</f>
        <v>06/04/2025</v>
      </c>
      <c r="B352">
        <v>1</v>
      </c>
      <c r="C352">
        <v>76000</v>
      </c>
      <c r="D352">
        <v>159387</v>
      </c>
      <c r="E352">
        <v>76000</v>
      </c>
      <c r="F352">
        <v>76000</v>
      </c>
      <c r="G352" s="1">
        <v>4.4999999999999998E-2</v>
      </c>
      <c r="H352" s="1">
        <v>4.4999999999999998E-2</v>
      </c>
      <c r="I352" s="1">
        <v>4.4999999999999998E-2</v>
      </c>
      <c r="J352" s="1">
        <v>0.38009999999999999</v>
      </c>
    </row>
    <row r="353" spans="1:10" x14ac:dyDescent="0.2">
      <c r="A353" t="str">
        <f>"03/04/2025"</f>
        <v>03/04/2025</v>
      </c>
      <c r="B353">
        <v>3</v>
      </c>
      <c r="C353">
        <v>77000</v>
      </c>
      <c r="D353">
        <v>182518</v>
      </c>
      <c r="E353">
        <v>77000</v>
      </c>
      <c r="F353">
        <v>77000</v>
      </c>
      <c r="G353" s="1">
        <v>4.4999999999999998E-2</v>
      </c>
      <c r="H353" s="1">
        <v>4.4999999999999998E-2</v>
      </c>
      <c r="I353" s="1">
        <v>4.4999999999999998E-2</v>
      </c>
      <c r="J353" s="1">
        <v>0.34379999999999999</v>
      </c>
    </row>
    <row r="354" spans="1:10" x14ac:dyDescent="0.2">
      <c r="A354" t="str">
        <f>"02/04/2025"</f>
        <v>02/04/2025</v>
      </c>
      <c r="B354">
        <v>1</v>
      </c>
      <c r="C354">
        <v>76000</v>
      </c>
      <c r="D354">
        <v>203489</v>
      </c>
      <c r="E354">
        <v>76000</v>
      </c>
      <c r="F354">
        <v>76000</v>
      </c>
      <c r="G354" s="1">
        <v>4.4999999999999998E-2</v>
      </c>
      <c r="H354" s="1">
        <v>4.4999999999999998E-2</v>
      </c>
      <c r="I354" s="1">
        <v>4.4999999999999998E-2</v>
      </c>
      <c r="J354" s="1">
        <v>0.30030000000000001</v>
      </c>
    </row>
    <row r="355" spans="1:10" x14ac:dyDescent="0.2">
      <c r="A355" t="str">
        <f>"01/04/2025"</f>
        <v>01/04/2025</v>
      </c>
      <c r="B355">
        <v>1</v>
      </c>
      <c r="C355">
        <v>79000</v>
      </c>
      <c r="D355">
        <v>207660</v>
      </c>
      <c r="E355">
        <v>79000</v>
      </c>
      <c r="F355">
        <v>79000</v>
      </c>
      <c r="G355" s="1">
        <v>4.4999999999999998E-2</v>
      </c>
      <c r="H355" s="1">
        <v>4.4999999999999998E-2</v>
      </c>
      <c r="I355" s="1">
        <v>4.4999999999999998E-2</v>
      </c>
      <c r="J355" s="1">
        <v>0.31109999999999999</v>
      </c>
    </row>
    <row r="356" spans="1:10" x14ac:dyDescent="0.2">
      <c r="A356" t="str">
        <f>"31/03/2025"</f>
        <v>31/03/2025</v>
      </c>
      <c r="B356">
        <v>1</v>
      </c>
      <c r="C356">
        <v>68000</v>
      </c>
      <c r="D356">
        <v>164333</v>
      </c>
      <c r="E356">
        <v>68000</v>
      </c>
      <c r="F356">
        <v>68000</v>
      </c>
      <c r="G356" s="1">
        <v>4.4999999999999998E-2</v>
      </c>
      <c r="H356" s="1">
        <v>4.4999999999999998E-2</v>
      </c>
      <c r="I356" s="1">
        <v>4.4999999999999998E-2</v>
      </c>
      <c r="J356" s="1">
        <v>0.3508</v>
      </c>
    </row>
    <row r="357" spans="1:10" x14ac:dyDescent="0.2">
      <c r="A357" t="str">
        <f>"30/03/2025"</f>
        <v>30/03/2025</v>
      </c>
      <c r="B357">
        <v>1</v>
      </c>
      <c r="C357">
        <v>61000</v>
      </c>
      <c r="D357">
        <v>134899</v>
      </c>
      <c r="E357">
        <v>61000</v>
      </c>
      <c r="F357">
        <v>61000</v>
      </c>
      <c r="G357" s="1">
        <v>4.4999999999999998E-2</v>
      </c>
      <c r="H357" s="1">
        <v>4.4999999999999998E-2</v>
      </c>
      <c r="I357" s="1">
        <v>4.4999999999999998E-2</v>
      </c>
      <c r="J357" s="1">
        <v>0.36759999999999998</v>
      </c>
    </row>
    <row r="358" spans="1:10" x14ac:dyDescent="0.2">
      <c r="A358" t="str">
        <f>"27/03/2025"</f>
        <v>27/03/2025</v>
      </c>
      <c r="B358">
        <v>3</v>
      </c>
      <c r="C358">
        <v>64000</v>
      </c>
      <c r="D358">
        <v>128027</v>
      </c>
      <c r="E358">
        <v>64000</v>
      </c>
      <c r="F358">
        <v>64000</v>
      </c>
      <c r="G358" s="1">
        <v>4.4999999999999998E-2</v>
      </c>
      <c r="H358" s="1">
        <v>4.4999999999999998E-2</v>
      </c>
      <c r="I358" s="1">
        <v>4.4999999999999998E-2</v>
      </c>
      <c r="J358" s="1">
        <v>0.42549999999999999</v>
      </c>
    </row>
    <row r="359" spans="1:10" x14ac:dyDescent="0.2">
      <c r="A359" t="str">
        <f>"26/03/2025"</f>
        <v>26/03/2025</v>
      </c>
      <c r="B359">
        <v>1</v>
      </c>
      <c r="C359">
        <v>64000</v>
      </c>
      <c r="D359">
        <v>135406</v>
      </c>
      <c r="E359">
        <v>64000</v>
      </c>
      <c r="F359">
        <v>64000</v>
      </c>
      <c r="G359" s="1">
        <v>4.4999999999999998E-2</v>
      </c>
      <c r="H359" s="1">
        <v>4.4999999999999998E-2</v>
      </c>
      <c r="I359" s="1">
        <v>4.4999999999999998E-2</v>
      </c>
      <c r="J359" s="1">
        <v>0.38500000000000001</v>
      </c>
    </row>
    <row r="360" spans="1:10" x14ac:dyDescent="0.2">
      <c r="A360" t="str">
        <f>"25/03/2025"</f>
        <v>25/03/2025</v>
      </c>
      <c r="B360">
        <v>1</v>
      </c>
      <c r="C360">
        <v>68000</v>
      </c>
      <c r="D360">
        <v>144776</v>
      </c>
      <c r="E360">
        <v>68000</v>
      </c>
      <c r="F360">
        <v>68000</v>
      </c>
      <c r="G360" s="1">
        <v>4.4999999999999998E-2</v>
      </c>
      <c r="H360" s="1">
        <v>4.4999999999999998E-2</v>
      </c>
      <c r="I360" s="1">
        <v>4.4999999999999998E-2</v>
      </c>
      <c r="J360" s="1">
        <v>0.38350000000000001</v>
      </c>
    </row>
    <row r="361" spans="1:10" x14ac:dyDescent="0.2">
      <c r="A361" t="str">
        <f>"24/03/2025"</f>
        <v>24/03/2025</v>
      </c>
      <c r="B361">
        <v>1</v>
      </c>
      <c r="C361">
        <v>72000</v>
      </c>
      <c r="D361">
        <v>160070</v>
      </c>
      <c r="E361">
        <v>72000</v>
      </c>
      <c r="F361">
        <v>72000</v>
      </c>
      <c r="G361" s="1">
        <v>4.4999999999999998E-2</v>
      </c>
      <c r="H361" s="1">
        <v>4.4999999999999998E-2</v>
      </c>
      <c r="I361" s="1">
        <v>4.4999999999999998E-2</v>
      </c>
      <c r="J361" s="1">
        <v>0.3679</v>
      </c>
    </row>
    <row r="362" spans="1:10" x14ac:dyDescent="0.2">
      <c r="A362" t="str">
        <f>"23/03/2025"</f>
        <v>23/03/2025</v>
      </c>
      <c r="B362">
        <v>1</v>
      </c>
      <c r="C362">
        <v>67000</v>
      </c>
      <c r="D362">
        <v>162056</v>
      </c>
      <c r="E362">
        <v>67000</v>
      </c>
      <c r="F362">
        <v>67000</v>
      </c>
      <c r="G362" s="1">
        <v>4.4999999999999998E-2</v>
      </c>
      <c r="H362" s="1">
        <v>4.4999999999999998E-2</v>
      </c>
      <c r="I362" s="1">
        <v>4.4999999999999998E-2</v>
      </c>
      <c r="J362" s="1">
        <v>0.33150000000000002</v>
      </c>
    </row>
    <row r="363" spans="1:10" x14ac:dyDescent="0.2">
      <c r="A363" t="str">
        <f>"20/03/2025"</f>
        <v>20/03/2025</v>
      </c>
      <c r="B363">
        <v>3</v>
      </c>
      <c r="C363">
        <v>72000</v>
      </c>
      <c r="D363">
        <v>196355</v>
      </c>
      <c r="E363">
        <v>72000</v>
      </c>
      <c r="F363">
        <v>72000</v>
      </c>
      <c r="G363" s="1">
        <v>4.4999999999999998E-2</v>
      </c>
      <c r="H363" s="1">
        <v>4.4999999999999998E-2</v>
      </c>
      <c r="I363" s="1">
        <v>4.4999999999999998E-2</v>
      </c>
      <c r="J363" s="1">
        <v>0.29170000000000001</v>
      </c>
    </row>
    <row r="364" spans="1:10" x14ac:dyDescent="0.2">
      <c r="A364" t="str">
        <f>"19/03/2025"</f>
        <v>19/03/2025</v>
      </c>
      <c r="B364">
        <v>1</v>
      </c>
      <c r="C364">
        <v>79000</v>
      </c>
      <c r="D364">
        <v>246700</v>
      </c>
      <c r="E364">
        <v>79000</v>
      </c>
      <c r="F364">
        <v>79000</v>
      </c>
      <c r="G364" s="1">
        <v>4.4999999999999998E-2</v>
      </c>
      <c r="H364" s="1">
        <v>4.4999999999999998E-2</v>
      </c>
      <c r="I364" s="1">
        <v>4.4999999999999998E-2</v>
      </c>
      <c r="J364" s="1">
        <v>0.25519999999999998</v>
      </c>
    </row>
    <row r="365" spans="1:10" x14ac:dyDescent="0.2">
      <c r="A365" t="str">
        <f>"18/03/2025"</f>
        <v>18/03/2025</v>
      </c>
      <c r="B365">
        <v>1</v>
      </c>
      <c r="C365">
        <v>80000</v>
      </c>
      <c r="D365">
        <v>258574</v>
      </c>
      <c r="E365">
        <v>80000</v>
      </c>
      <c r="F365">
        <v>80000</v>
      </c>
      <c r="G365" s="1">
        <v>4.4999999999999998E-2</v>
      </c>
      <c r="H365" s="1">
        <v>4.4999999999999998E-2</v>
      </c>
      <c r="I365" s="1">
        <v>4.4999999999999998E-2</v>
      </c>
      <c r="J365" s="1">
        <v>0.2487</v>
      </c>
    </row>
    <row r="366" spans="1:10" x14ac:dyDescent="0.2">
      <c r="A366" t="str">
        <f>"17/03/2025"</f>
        <v>17/03/2025</v>
      </c>
      <c r="B366">
        <v>1</v>
      </c>
      <c r="C366">
        <v>87000</v>
      </c>
      <c r="D366">
        <v>264875</v>
      </c>
      <c r="E366">
        <v>87000</v>
      </c>
      <c r="F366">
        <v>87000</v>
      </c>
      <c r="G366" s="1">
        <v>4.4999999999999998E-2</v>
      </c>
      <c r="H366" s="1">
        <v>4.4999999999999998E-2</v>
      </c>
      <c r="I366" s="1">
        <v>4.4999999999999998E-2</v>
      </c>
      <c r="J366" s="1">
        <v>0.25340000000000001</v>
      </c>
    </row>
    <row r="367" spans="1:10" x14ac:dyDescent="0.2">
      <c r="A367" t="str">
        <f>"16/03/2025"</f>
        <v>16/03/2025</v>
      </c>
      <c r="B367">
        <v>1</v>
      </c>
      <c r="C367">
        <v>92000</v>
      </c>
      <c r="D367">
        <v>290444</v>
      </c>
      <c r="E367">
        <v>92000</v>
      </c>
      <c r="F367">
        <v>92000</v>
      </c>
      <c r="G367" s="1">
        <v>4.4999999999999998E-2</v>
      </c>
      <c r="H367" s="1">
        <v>4.4999999999999998E-2</v>
      </c>
      <c r="I367" s="1">
        <v>4.4999999999999998E-2</v>
      </c>
      <c r="J367" s="1">
        <v>0.2601</v>
      </c>
    </row>
    <row r="368" spans="1:10" x14ac:dyDescent="0.2">
      <c r="A368" t="str">
        <f>"13/03/2025"</f>
        <v>13/03/2025</v>
      </c>
      <c r="B368">
        <v>3</v>
      </c>
      <c r="C368">
        <v>94000</v>
      </c>
      <c r="D368">
        <v>274051</v>
      </c>
      <c r="E368">
        <v>94000</v>
      </c>
      <c r="F368">
        <v>94000</v>
      </c>
      <c r="G368" s="1">
        <v>4.4999999999999998E-2</v>
      </c>
      <c r="H368" s="1">
        <v>4.4999999999999998E-2</v>
      </c>
      <c r="I368" s="1">
        <v>4.4999999999999998E-2</v>
      </c>
      <c r="J368" s="1">
        <v>0.27579999999999999</v>
      </c>
    </row>
    <row r="369" spans="1:10" x14ac:dyDescent="0.2">
      <c r="A369" t="str">
        <f>"12/03/2025"</f>
        <v>12/03/2025</v>
      </c>
      <c r="B369">
        <v>1</v>
      </c>
      <c r="C369">
        <v>95000</v>
      </c>
      <c r="D369">
        <v>281521</v>
      </c>
      <c r="E369">
        <v>95000</v>
      </c>
      <c r="F369">
        <v>95000</v>
      </c>
      <c r="G369" s="1">
        <v>4.4999999999999998E-2</v>
      </c>
      <c r="H369" s="1">
        <v>4.4999999999999998E-2</v>
      </c>
      <c r="I369" s="1">
        <v>4.4999999999999998E-2</v>
      </c>
      <c r="J369" s="1">
        <v>0.27689999999999998</v>
      </c>
    </row>
    <row r="370" spans="1:10" x14ac:dyDescent="0.2">
      <c r="A370" t="str">
        <f>"11/03/2025"</f>
        <v>11/03/2025</v>
      </c>
      <c r="B370">
        <v>1</v>
      </c>
      <c r="C370">
        <v>96000</v>
      </c>
      <c r="D370">
        <v>282362</v>
      </c>
      <c r="E370">
        <v>96000</v>
      </c>
      <c r="F370">
        <v>96000</v>
      </c>
      <c r="G370" s="1">
        <v>4.4999999999999998E-2</v>
      </c>
      <c r="H370" s="1">
        <v>4.4999999999999998E-2</v>
      </c>
      <c r="I370" s="1">
        <v>4.4999999999999998E-2</v>
      </c>
      <c r="J370" s="1">
        <v>0.28110000000000002</v>
      </c>
    </row>
    <row r="371" spans="1:10" x14ac:dyDescent="0.2">
      <c r="A371" t="str">
        <f>"10/03/2025"</f>
        <v>10/03/2025</v>
      </c>
      <c r="B371">
        <v>1</v>
      </c>
      <c r="C371">
        <v>100000</v>
      </c>
      <c r="D371">
        <v>287803</v>
      </c>
      <c r="E371">
        <v>100000</v>
      </c>
      <c r="F371">
        <v>100000</v>
      </c>
      <c r="G371" s="1">
        <v>4.4999999999999998E-2</v>
      </c>
      <c r="H371" s="1">
        <v>4.4999999999999998E-2</v>
      </c>
      <c r="I371" s="1">
        <v>4.4999999999999998E-2</v>
      </c>
      <c r="J371" s="1">
        <v>0.27979999999999999</v>
      </c>
    </row>
    <row r="372" spans="1:10" x14ac:dyDescent="0.2">
      <c r="A372" t="str">
        <f>"09/03/2025"</f>
        <v>09/03/2025</v>
      </c>
      <c r="B372">
        <v>1</v>
      </c>
      <c r="C372">
        <v>99000</v>
      </c>
      <c r="D372">
        <v>292194</v>
      </c>
      <c r="E372">
        <v>99000</v>
      </c>
      <c r="F372">
        <v>99000</v>
      </c>
      <c r="G372" s="1">
        <v>4.4999999999999998E-2</v>
      </c>
      <c r="H372" s="1">
        <v>4.4999999999999998E-2</v>
      </c>
      <c r="I372" s="1">
        <v>4.4999999999999998E-2</v>
      </c>
      <c r="J372" s="1">
        <v>0.28010000000000002</v>
      </c>
    </row>
    <row r="373" spans="1:10" x14ac:dyDescent="0.2">
      <c r="A373" t="str">
        <f>"06/03/2025"</f>
        <v>06/03/2025</v>
      </c>
      <c r="B373">
        <v>3</v>
      </c>
      <c r="C373">
        <v>101000</v>
      </c>
      <c r="D373">
        <v>318186</v>
      </c>
      <c r="E373">
        <v>101000</v>
      </c>
      <c r="F373">
        <v>101000</v>
      </c>
      <c r="G373" s="1">
        <v>4.4999999999999998E-2</v>
      </c>
      <c r="H373" s="1">
        <v>4.4999999999999998E-2</v>
      </c>
      <c r="I373" s="1">
        <v>4.4999999999999998E-2</v>
      </c>
      <c r="J373" s="1">
        <v>0.26619999999999999</v>
      </c>
    </row>
    <row r="374" spans="1:10" x14ac:dyDescent="0.2">
      <c r="A374" t="str">
        <f>"05/03/2025"</f>
        <v>05/03/2025</v>
      </c>
      <c r="B374">
        <v>1</v>
      </c>
      <c r="C374">
        <v>99000</v>
      </c>
      <c r="D374">
        <v>358456</v>
      </c>
      <c r="E374">
        <v>99000</v>
      </c>
      <c r="F374">
        <v>99000</v>
      </c>
      <c r="G374" s="1">
        <v>4.4999999999999998E-2</v>
      </c>
      <c r="H374" s="1">
        <v>4.4999999999999998E-2</v>
      </c>
      <c r="I374" s="1">
        <v>4.4999999999999998E-2</v>
      </c>
      <c r="J374" s="1">
        <v>0.21609999999999999</v>
      </c>
    </row>
    <row r="375" spans="1:10" x14ac:dyDescent="0.2">
      <c r="A375" t="str">
        <f>"04/03/2025"</f>
        <v>04/03/2025</v>
      </c>
      <c r="B375">
        <v>1</v>
      </c>
      <c r="C375">
        <v>99000</v>
      </c>
      <c r="D375">
        <v>328384</v>
      </c>
      <c r="E375">
        <v>99000</v>
      </c>
      <c r="F375">
        <v>99000</v>
      </c>
      <c r="G375" s="1">
        <v>4.4999999999999998E-2</v>
      </c>
      <c r="H375" s="1">
        <v>4.4999999999999998E-2</v>
      </c>
      <c r="I375" s="1">
        <v>4.4999999999999998E-2</v>
      </c>
      <c r="J375" s="1">
        <v>0.22969999999999999</v>
      </c>
    </row>
    <row r="376" spans="1:10" x14ac:dyDescent="0.2">
      <c r="A376" t="str">
        <f>"03/03/2025"</f>
        <v>03/03/2025</v>
      </c>
      <c r="B376">
        <v>1</v>
      </c>
      <c r="C376">
        <v>100000</v>
      </c>
      <c r="D376">
        <v>307042</v>
      </c>
      <c r="E376">
        <v>100000</v>
      </c>
      <c r="F376">
        <v>100000</v>
      </c>
      <c r="G376" s="1">
        <v>4.4999999999999998E-2</v>
      </c>
      <c r="H376" s="1">
        <v>4.4999999999999998E-2</v>
      </c>
      <c r="I376" s="1">
        <v>4.4999999999999998E-2</v>
      </c>
      <c r="J376" s="1">
        <v>0.2661</v>
      </c>
    </row>
    <row r="377" spans="1:10" x14ac:dyDescent="0.2">
      <c r="A377" t="str">
        <f>"02/03/2025"</f>
        <v>02/03/2025</v>
      </c>
      <c r="B377">
        <v>1</v>
      </c>
      <c r="C377">
        <v>102000</v>
      </c>
      <c r="D377">
        <v>283609</v>
      </c>
      <c r="E377">
        <v>102000</v>
      </c>
      <c r="F377">
        <v>102000</v>
      </c>
      <c r="G377" s="1">
        <v>4.4999999999999998E-2</v>
      </c>
      <c r="H377" s="1">
        <v>4.4999999999999998E-2</v>
      </c>
      <c r="I377" s="1">
        <v>4.4999999999999998E-2</v>
      </c>
      <c r="J377" s="1">
        <v>0.31909999999999999</v>
      </c>
    </row>
    <row r="378" spans="1:10" x14ac:dyDescent="0.2">
      <c r="A378" t="str">
        <f>"27/02/2025"</f>
        <v>27/02/2025</v>
      </c>
      <c r="B378">
        <v>3</v>
      </c>
      <c r="C378">
        <v>77000</v>
      </c>
      <c r="D378">
        <v>163537</v>
      </c>
      <c r="E378">
        <v>77000</v>
      </c>
      <c r="F378">
        <v>77000</v>
      </c>
      <c r="G378" s="1">
        <v>4.4999999999999998E-2</v>
      </c>
      <c r="H378" s="1">
        <v>4.4999999999999998E-2</v>
      </c>
      <c r="I378" s="1">
        <v>4.4999999999999998E-2</v>
      </c>
      <c r="J378" s="1">
        <v>0.41870000000000002</v>
      </c>
    </row>
    <row r="379" spans="1:10" x14ac:dyDescent="0.2">
      <c r="A379" t="str">
        <f>"26/02/2025"</f>
        <v>26/02/2025</v>
      </c>
      <c r="B379">
        <v>1</v>
      </c>
      <c r="C379">
        <v>69000</v>
      </c>
      <c r="D379">
        <v>63058</v>
      </c>
      <c r="E379">
        <v>63058</v>
      </c>
      <c r="F379">
        <v>63058</v>
      </c>
      <c r="G379" s="1">
        <v>4.4999999999999998E-2</v>
      </c>
      <c r="H379" s="1">
        <v>4.4999999999999998E-2</v>
      </c>
      <c r="I379" s="1">
        <v>4.4999999999999998E-2</v>
      </c>
      <c r="J379" s="1">
        <v>1</v>
      </c>
    </row>
    <row r="380" spans="1:10" x14ac:dyDescent="0.2">
      <c r="A380" t="str">
        <f>"25/02/2025"</f>
        <v>25/02/2025</v>
      </c>
      <c r="B380">
        <v>1</v>
      </c>
      <c r="C380">
        <v>67000</v>
      </c>
      <c r="D380">
        <v>128671</v>
      </c>
      <c r="E380">
        <v>67000</v>
      </c>
      <c r="F380">
        <v>67000</v>
      </c>
      <c r="G380" s="1">
        <v>4.4999999999999998E-2</v>
      </c>
      <c r="H380" s="1">
        <v>4.4999999999999998E-2</v>
      </c>
      <c r="I380" s="1">
        <v>4.4999999999999998E-2</v>
      </c>
      <c r="J380" s="1">
        <v>0.44640000000000002</v>
      </c>
    </row>
    <row r="381" spans="1:10" x14ac:dyDescent="0.2">
      <c r="A381" t="str">
        <f>"24/02/2025"</f>
        <v>24/02/2025</v>
      </c>
      <c r="B381">
        <v>1</v>
      </c>
      <c r="C381">
        <v>74000</v>
      </c>
      <c r="D381">
        <v>140372</v>
      </c>
      <c r="E381">
        <v>74000</v>
      </c>
      <c r="F381">
        <v>74000</v>
      </c>
      <c r="G381" s="1">
        <v>4.4999999999999998E-2</v>
      </c>
      <c r="H381" s="1">
        <v>4.4999999999999998E-2</v>
      </c>
      <c r="I381" s="1">
        <v>4.4999999999999998E-2</v>
      </c>
      <c r="J381" s="1">
        <v>0.45900000000000002</v>
      </c>
    </row>
    <row r="382" spans="1:10" x14ac:dyDescent="0.2">
      <c r="A382" t="str">
        <f>"23/02/2025"</f>
        <v>23/02/2025</v>
      </c>
      <c r="B382">
        <v>1</v>
      </c>
      <c r="C382">
        <v>75000</v>
      </c>
      <c r="D382">
        <v>167247</v>
      </c>
      <c r="E382">
        <v>75000</v>
      </c>
      <c r="F382">
        <v>75000</v>
      </c>
      <c r="G382" s="1">
        <v>4.4999999999999998E-2</v>
      </c>
      <c r="H382" s="1">
        <v>4.4999999999999998E-2</v>
      </c>
      <c r="I382" s="1">
        <v>4.4999999999999998E-2</v>
      </c>
      <c r="J382" s="1">
        <v>0.39660000000000001</v>
      </c>
    </row>
    <row r="383" spans="1:10" x14ac:dyDescent="0.2">
      <c r="A383" t="str">
        <f>"20/02/2025"</f>
        <v>20/02/2025</v>
      </c>
      <c r="B383">
        <v>3</v>
      </c>
      <c r="C383">
        <v>78000</v>
      </c>
      <c r="D383">
        <v>193236</v>
      </c>
      <c r="E383">
        <v>78000</v>
      </c>
      <c r="F383">
        <v>78000</v>
      </c>
      <c r="G383" s="1">
        <v>4.4999999999999998E-2</v>
      </c>
      <c r="H383" s="1">
        <v>4.4999999999999998E-2</v>
      </c>
      <c r="I383" s="1">
        <v>4.4999999999999998E-2</v>
      </c>
      <c r="J383" s="1">
        <v>0.35980000000000001</v>
      </c>
    </row>
    <row r="384" spans="1:10" x14ac:dyDescent="0.2">
      <c r="A384" t="str">
        <f>"19/02/2025"</f>
        <v>19/02/2025</v>
      </c>
      <c r="B384">
        <v>1</v>
      </c>
      <c r="C384">
        <v>82000</v>
      </c>
      <c r="D384">
        <v>211439</v>
      </c>
      <c r="E384">
        <v>82000</v>
      </c>
      <c r="F384">
        <v>82000</v>
      </c>
      <c r="G384" s="1">
        <v>4.4999999999999998E-2</v>
      </c>
      <c r="H384" s="1">
        <v>4.4999999999999998E-2</v>
      </c>
      <c r="I384" s="1">
        <v>4.4999999999999998E-2</v>
      </c>
      <c r="J384" s="1">
        <v>0.33800000000000002</v>
      </c>
    </row>
    <row r="385" spans="1:10" x14ac:dyDescent="0.2">
      <c r="A385" t="str">
        <f>"18/02/2025"</f>
        <v>18/02/2025</v>
      </c>
      <c r="B385">
        <v>1</v>
      </c>
      <c r="C385">
        <v>84000</v>
      </c>
      <c r="D385">
        <v>216782</v>
      </c>
      <c r="E385">
        <v>84000</v>
      </c>
      <c r="F385">
        <v>84000</v>
      </c>
      <c r="G385" s="1">
        <v>4.4999999999999998E-2</v>
      </c>
      <c r="H385" s="1">
        <v>4.4999999999999998E-2</v>
      </c>
      <c r="I385" s="1">
        <v>4.4999999999999998E-2</v>
      </c>
      <c r="J385" s="1">
        <v>0.34429999999999999</v>
      </c>
    </row>
    <row r="386" spans="1:10" x14ac:dyDescent="0.2">
      <c r="A386" t="str">
        <f>"17/02/2025"</f>
        <v>17/02/2025</v>
      </c>
      <c r="B386">
        <v>1</v>
      </c>
      <c r="C386">
        <v>91000</v>
      </c>
      <c r="D386">
        <v>239072</v>
      </c>
      <c r="E386">
        <v>91000</v>
      </c>
      <c r="F386">
        <v>91000</v>
      </c>
      <c r="G386" s="1">
        <v>4.4999999999999998E-2</v>
      </c>
      <c r="H386" s="1">
        <v>4.4999999999999998E-2</v>
      </c>
      <c r="I386" s="1">
        <v>4.4999999999999998E-2</v>
      </c>
      <c r="J386" s="1">
        <v>0.33610000000000001</v>
      </c>
    </row>
    <row r="387" spans="1:10" x14ac:dyDescent="0.2">
      <c r="A387" t="str">
        <f>"16/02/2025"</f>
        <v>16/02/2025</v>
      </c>
      <c r="B387">
        <v>1</v>
      </c>
      <c r="C387">
        <v>95000</v>
      </c>
      <c r="D387">
        <v>250382</v>
      </c>
      <c r="E387">
        <v>95000</v>
      </c>
      <c r="F387">
        <v>95000</v>
      </c>
      <c r="G387" s="1">
        <v>4.4999999999999998E-2</v>
      </c>
      <c r="H387" s="1">
        <v>4.4999999999999998E-2</v>
      </c>
      <c r="I387" s="1">
        <v>4.4999999999999998E-2</v>
      </c>
      <c r="J387" s="1">
        <v>0.33500000000000002</v>
      </c>
    </row>
    <row r="388" spans="1:10" x14ac:dyDescent="0.2">
      <c r="A388" t="str">
        <f>"13/02/2025"</f>
        <v>13/02/2025</v>
      </c>
      <c r="B388">
        <v>3</v>
      </c>
      <c r="C388">
        <v>97000</v>
      </c>
      <c r="D388">
        <v>242205</v>
      </c>
      <c r="E388">
        <v>97000</v>
      </c>
      <c r="F388">
        <v>97000</v>
      </c>
      <c r="G388" s="1">
        <v>4.4999999999999998E-2</v>
      </c>
      <c r="H388" s="1">
        <v>4.4999999999999998E-2</v>
      </c>
      <c r="I388" s="1">
        <v>4.4999999999999998E-2</v>
      </c>
      <c r="J388" s="1">
        <v>0.36309999999999998</v>
      </c>
    </row>
    <row r="389" spans="1:10" x14ac:dyDescent="0.2">
      <c r="A389" t="str">
        <f>"12/02/2025"</f>
        <v>12/02/2025</v>
      </c>
      <c r="B389">
        <v>1</v>
      </c>
      <c r="C389">
        <v>96000</v>
      </c>
      <c r="D389">
        <v>258516</v>
      </c>
      <c r="E389">
        <v>96000</v>
      </c>
      <c r="F389">
        <v>96000</v>
      </c>
      <c r="G389" s="1">
        <v>4.4999999999999998E-2</v>
      </c>
      <c r="H389" s="1">
        <v>4.4999999999999998E-2</v>
      </c>
      <c r="I389" s="1">
        <v>4.4999999999999998E-2</v>
      </c>
      <c r="J389" s="1">
        <v>0.32800000000000001</v>
      </c>
    </row>
    <row r="390" spans="1:10" x14ac:dyDescent="0.2">
      <c r="A390" t="str">
        <f>"11/02/2025"</f>
        <v>11/02/2025</v>
      </c>
      <c r="B390">
        <v>1</v>
      </c>
      <c r="C390">
        <v>99000</v>
      </c>
      <c r="D390">
        <v>256161</v>
      </c>
      <c r="E390">
        <v>99000</v>
      </c>
      <c r="F390">
        <v>99000</v>
      </c>
      <c r="G390" s="1">
        <v>4.4999999999999998E-2</v>
      </c>
      <c r="H390" s="1">
        <v>4.4999999999999998E-2</v>
      </c>
      <c r="I390" s="1">
        <v>4.4999999999999998E-2</v>
      </c>
      <c r="J390" s="1">
        <v>0.34179999999999999</v>
      </c>
    </row>
    <row r="391" spans="1:10" x14ac:dyDescent="0.2">
      <c r="A391" t="str">
        <f>"10/02/2025"</f>
        <v>10/02/2025</v>
      </c>
      <c r="B391">
        <v>1</v>
      </c>
      <c r="C391">
        <v>99000</v>
      </c>
      <c r="D391">
        <v>243860</v>
      </c>
      <c r="E391">
        <v>99000</v>
      </c>
      <c r="F391">
        <v>99000</v>
      </c>
      <c r="G391" s="1">
        <v>4.4999999999999998E-2</v>
      </c>
      <c r="H391" s="1">
        <v>4.4999999999999998E-2</v>
      </c>
      <c r="I391" s="1">
        <v>4.4999999999999998E-2</v>
      </c>
      <c r="J391" s="1">
        <v>0.35880000000000001</v>
      </c>
    </row>
    <row r="392" spans="1:10" x14ac:dyDescent="0.2">
      <c r="A392" t="str">
        <f>"09/02/2025"</f>
        <v>09/02/2025</v>
      </c>
      <c r="B392">
        <v>1</v>
      </c>
      <c r="C392">
        <v>99000</v>
      </c>
      <c r="D392">
        <v>223011</v>
      </c>
      <c r="E392">
        <v>99000</v>
      </c>
      <c r="F392">
        <v>99000</v>
      </c>
      <c r="G392" s="1">
        <v>4.4999999999999998E-2</v>
      </c>
      <c r="H392" s="1">
        <v>4.4999999999999998E-2</v>
      </c>
      <c r="I392" s="1">
        <v>4.4999999999999998E-2</v>
      </c>
      <c r="J392" s="1">
        <v>0.4002</v>
      </c>
    </row>
    <row r="393" spans="1:10" x14ac:dyDescent="0.2">
      <c r="A393" t="str">
        <f>"06/02/2025"</f>
        <v>06/02/2025</v>
      </c>
      <c r="B393">
        <v>3</v>
      </c>
      <c r="C393">
        <v>101000</v>
      </c>
      <c r="D393">
        <v>220158</v>
      </c>
      <c r="E393">
        <v>101000</v>
      </c>
      <c r="F393">
        <v>101000</v>
      </c>
      <c r="G393" s="1">
        <v>4.4999999999999998E-2</v>
      </c>
      <c r="H393" s="1">
        <v>4.4999999999999998E-2</v>
      </c>
      <c r="I393" s="1">
        <v>4.4999999999999998E-2</v>
      </c>
      <c r="J393" s="1">
        <v>0.41949999999999998</v>
      </c>
    </row>
    <row r="394" spans="1:10" x14ac:dyDescent="0.2">
      <c r="A394" t="str">
        <f>"05/02/2025"</f>
        <v>05/02/2025</v>
      </c>
      <c r="B394">
        <v>1</v>
      </c>
      <c r="C394">
        <v>101000</v>
      </c>
      <c r="D394">
        <v>236993</v>
      </c>
      <c r="E394">
        <v>101000</v>
      </c>
      <c r="F394">
        <v>101000</v>
      </c>
      <c r="G394" s="1">
        <v>4.4999999999999998E-2</v>
      </c>
      <c r="H394" s="1">
        <v>4.4999999999999998E-2</v>
      </c>
      <c r="I394" s="1">
        <v>4.4999999999999998E-2</v>
      </c>
      <c r="J394" s="1">
        <v>0.38040000000000002</v>
      </c>
    </row>
    <row r="395" spans="1:10" x14ac:dyDescent="0.2">
      <c r="A395" t="str">
        <f>"04/02/2025"</f>
        <v>04/02/2025</v>
      </c>
      <c r="B395">
        <v>1</v>
      </c>
      <c r="C395">
        <v>104000</v>
      </c>
      <c r="D395">
        <v>244406</v>
      </c>
      <c r="E395">
        <v>104000</v>
      </c>
      <c r="F395">
        <v>104000</v>
      </c>
      <c r="G395" s="1">
        <v>4.4999999999999998E-2</v>
      </c>
      <c r="H395" s="1">
        <v>4.4999999999999998E-2</v>
      </c>
      <c r="I395" s="1">
        <v>4.4999999999999998E-2</v>
      </c>
      <c r="J395" s="1">
        <v>0.38059999999999999</v>
      </c>
    </row>
    <row r="396" spans="1:10" x14ac:dyDescent="0.2">
      <c r="A396" t="str">
        <f>"03/02/2025"</f>
        <v>03/02/2025</v>
      </c>
      <c r="B396">
        <v>1</v>
      </c>
      <c r="C396">
        <v>107000</v>
      </c>
      <c r="D396">
        <v>240652</v>
      </c>
      <c r="E396">
        <v>107000</v>
      </c>
      <c r="F396">
        <v>107000</v>
      </c>
      <c r="G396" s="1">
        <v>4.4999999999999998E-2</v>
      </c>
      <c r="H396" s="1">
        <v>4.4999999999999998E-2</v>
      </c>
      <c r="I396" s="1">
        <v>4.4999999999999998E-2</v>
      </c>
      <c r="J396" s="1">
        <v>0.39689999999999998</v>
      </c>
    </row>
    <row r="397" spans="1:10" x14ac:dyDescent="0.2">
      <c r="A397" t="str">
        <f>"02/02/2025"</f>
        <v>02/02/2025</v>
      </c>
      <c r="B397">
        <v>1</v>
      </c>
      <c r="C397">
        <v>108000</v>
      </c>
      <c r="D397">
        <v>237871</v>
      </c>
      <c r="E397">
        <v>108000</v>
      </c>
      <c r="F397">
        <v>108000</v>
      </c>
      <c r="G397" s="1">
        <v>4.4999999999999998E-2</v>
      </c>
      <c r="H397" s="1">
        <v>4.4999999999999998E-2</v>
      </c>
      <c r="I397" s="1">
        <v>4.4999999999999998E-2</v>
      </c>
      <c r="J397" s="1">
        <v>0.4093</v>
      </c>
    </row>
    <row r="398" spans="1:10" x14ac:dyDescent="0.2">
      <c r="A398" t="str">
        <f>"30/01/2025"</f>
        <v>30/01/2025</v>
      </c>
      <c r="B398">
        <v>3</v>
      </c>
      <c r="C398">
        <v>97000</v>
      </c>
      <c r="D398">
        <v>204468</v>
      </c>
      <c r="E398">
        <v>97000</v>
      </c>
      <c r="F398">
        <v>97000</v>
      </c>
      <c r="G398" s="1">
        <v>4.4999999999999998E-2</v>
      </c>
      <c r="H398" s="1">
        <v>4.4999999999999998E-2</v>
      </c>
      <c r="I398" s="1">
        <v>4.4999999999999998E-2</v>
      </c>
      <c r="J398" s="1">
        <v>0.43159999999999998</v>
      </c>
    </row>
    <row r="399" spans="1:10" x14ac:dyDescent="0.2">
      <c r="A399" t="str">
        <f>"29/01/2025"</f>
        <v>29/01/2025</v>
      </c>
      <c r="B399">
        <v>1</v>
      </c>
      <c r="C399">
        <v>99000</v>
      </c>
      <c r="D399">
        <v>218967</v>
      </c>
      <c r="E399">
        <v>99000</v>
      </c>
      <c r="F399">
        <v>99000</v>
      </c>
      <c r="G399" s="1">
        <v>4.4999999999999998E-2</v>
      </c>
      <c r="H399" s="1">
        <v>4.4999999999999998E-2</v>
      </c>
      <c r="I399" s="1">
        <v>4.4999999999999998E-2</v>
      </c>
      <c r="J399" s="1">
        <v>0.39700000000000002</v>
      </c>
    </row>
    <row r="400" spans="1:10" x14ac:dyDescent="0.2">
      <c r="A400" t="str">
        <f>"28/01/2025"</f>
        <v>28/01/2025</v>
      </c>
      <c r="B400">
        <v>1</v>
      </c>
      <c r="C400">
        <v>99000</v>
      </c>
      <c r="D400">
        <v>209218</v>
      </c>
      <c r="E400">
        <v>99000</v>
      </c>
      <c r="F400">
        <v>99000</v>
      </c>
      <c r="G400" s="1">
        <v>4.4999999999999998E-2</v>
      </c>
      <c r="H400" s="1">
        <v>4.4999999999999998E-2</v>
      </c>
      <c r="I400" s="1">
        <v>4.4999999999999998E-2</v>
      </c>
      <c r="J400" s="1">
        <v>0.42</v>
      </c>
    </row>
    <row r="401" spans="1:10" x14ac:dyDescent="0.2">
      <c r="A401" t="str">
        <f>"27/01/2025"</f>
        <v>27/01/2025</v>
      </c>
      <c r="B401">
        <v>1</v>
      </c>
      <c r="C401">
        <v>97000</v>
      </c>
      <c r="D401">
        <v>194152</v>
      </c>
      <c r="E401">
        <v>97000</v>
      </c>
      <c r="F401">
        <v>97000</v>
      </c>
      <c r="G401" s="1">
        <v>4.4999999999999998E-2</v>
      </c>
      <c r="H401" s="1">
        <v>4.4999999999999998E-2</v>
      </c>
      <c r="I401" s="1">
        <v>4.4999999999999998E-2</v>
      </c>
      <c r="J401" s="1">
        <v>0.4496</v>
      </c>
    </row>
    <row r="402" spans="1:10" x14ac:dyDescent="0.2">
      <c r="A402" t="str">
        <f>"26/01/2025"</f>
        <v>26/01/2025</v>
      </c>
      <c r="B402">
        <v>1</v>
      </c>
      <c r="C402">
        <v>100000</v>
      </c>
      <c r="D402">
        <v>197556</v>
      </c>
      <c r="E402">
        <v>100000</v>
      </c>
      <c r="F402">
        <v>100000</v>
      </c>
      <c r="G402" s="1">
        <v>4.4999999999999998E-2</v>
      </c>
      <c r="H402" s="1">
        <v>4.4999999999999998E-2</v>
      </c>
      <c r="I402" s="1">
        <v>4.4999999999999998E-2</v>
      </c>
      <c r="J402" s="1">
        <v>0.45619999999999999</v>
      </c>
    </row>
    <row r="403" spans="1:10" x14ac:dyDescent="0.2">
      <c r="A403" t="str">
        <f>"23/01/2025"</f>
        <v>23/01/2025</v>
      </c>
      <c r="B403">
        <v>3</v>
      </c>
      <c r="C403">
        <v>103000</v>
      </c>
      <c r="D403">
        <v>230423</v>
      </c>
      <c r="E403">
        <v>103000</v>
      </c>
      <c r="F403">
        <v>103000</v>
      </c>
      <c r="G403" s="1">
        <v>4.4999999999999998E-2</v>
      </c>
      <c r="H403" s="1">
        <v>4.4999999999999998E-2</v>
      </c>
      <c r="I403" s="1">
        <v>4.4999999999999998E-2</v>
      </c>
      <c r="J403" s="1">
        <v>0.40660000000000002</v>
      </c>
    </row>
    <row r="404" spans="1:10" x14ac:dyDescent="0.2">
      <c r="A404" t="str">
        <f>"22/01/2025"</f>
        <v>22/01/2025</v>
      </c>
      <c r="B404">
        <v>1</v>
      </c>
      <c r="C404">
        <v>107000</v>
      </c>
      <c r="D404">
        <v>256629</v>
      </c>
      <c r="E404">
        <v>107000</v>
      </c>
      <c r="F404">
        <v>107000</v>
      </c>
      <c r="G404" s="1">
        <v>4.4999999999999998E-2</v>
      </c>
      <c r="H404" s="1">
        <v>4.4999999999999998E-2</v>
      </c>
      <c r="I404" s="1">
        <v>4.4999999999999998E-2</v>
      </c>
      <c r="J404" s="1">
        <v>0.37009999999999998</v>
      </c>
    </row>
    <row r="405" spans="1:10" x14ac:dyDescent="0.2">
      <c r="A405" t="str">
        <f>"21/01/2025"</f>
        <v>21/01/2025</v>
      </c>
      <c r="B405">
        <v>1</v>
      </c>
      <c r="C405">
        <v>107000</v>
      </c>
      <c r="D405">
        <v>240066</v>
      </c>
      <c r="E405">
        <v>107000</v>
      </c>
      <c r="F405">
        <v>107000</v>
      </c>
      <c r="G405" s="1">
        <v>4.4999999999999998E-2</v>
      </c>
      <c r="H405" s="1">
        <v>4.4999999999999998E-2</v>
      </c>
      <c r="I405" s="1">
        <v>4.4999999999999998E-2</v>
      </c>
      <c r="J405" s="1">
        <v>0.39579999999999999</v>
      </c>
    </row>
    <row r="406" spans="1:10" x14ac:dyDescent="0.2">
      <c r="A406" t="str">
        <f>"20/01/2025"</f>
        <v>20/01/2025</v>
      </c>
      <c r="B406">
        <v>1</v>
      </c>
      <c r="C406">
        <v>113000</v>
      </c>
      <c r="D406">
        <v>246479</v>
      </c>
      <c r="E406">
        <v>113000</v>
      </c>
      <c r="F406">
        <v>113000</v>
      </c>
      <c r="G406" s="1">
        <v>4.4999999999999998E-2</v>
      </c>
      <c r="H406" s="1">
        <v>4.4999999999999998E-2</v>
      </c>
      <c r="I406" s="1">
        <v>4.4999999999999998E-2</v>
      </c>
      <c r="J406" s="1">
        <v>0.41660000000000003</v>
      </c>
    </row>
    <row r="407" spans="1:10" x14ac:dyDescent="0.2">
      <c r="A407" t="str">
        <f>"19/01/2025"</f>
        <v>19/01/2025</v>
      </c>
      <c r="B407">
        <v>1</v>
      </c>
      <c r="C407">
        <v>125000</v>
      </c>
      <c r="D407">
        <v>294647</v>
      </c>
      <c r="E407">
        <v>125000</v>
      </c>
      <c r="F407">
        <v>125000</v>
      </c>
      <c r="G407" s="1">
        <v>4.4999999999999998E-2</v>
      </c>
      <c r="H407" s="1">
        <v>4.4999999999999998E-2</v>
      </c>
      <c r="I407" s="1">
        <v>4.4999999999999998E-2</v>
      </c>
      <c r="J407" s="1">
        <v>0.38940000000000002</v>
      </c>
    </row>
    <row r="408" spans="1:10" x14ac:dyDescent="0.2">
      <c r="A408" t="str">
        <f>"16/01/2025"</f>
        <v>16/01/2025</v>
      </c>
      <c r="B408">
        <v>3</v>
      </c>
      <c r="C408">
        <v>130000</v>
      </c>
      <c r="D408">
        <v>329524</v>
      </c>
      <c r="E408">
        <v>130000</v>
      </c>
      <c r="F408">
        <v>130000</v>
      </c>
      <c r="G408" s="1">
        <v>4.4999999999999998E-2</v>
      </c>
      <c r="H408" s="1">
        <v>4.4999999999999998E-2</v>
      </c>
      <c r="I408" s="1">
        <v>4.4999999999999998E-2</v>
      </c>
      <c r="J408" s="1">
        <v>0.35909999999999997</v>
      </c>
    </row>
    <row r="409" spans="1:10" x14ac:dyDescent="0.2">
      <c r="A409" t="str">
        <f>"15/01/2025"</f>
        <v>15/01/2025</v>
      </c>
      <c r="B409">
        <v>1</v>
      </c>
      <c r="C409">
        <v>137000</v>
      </c>
      <c r="D409">
        <v>354553</v>
      </c>
      <c r="E409">
        <v>137000</v>
      </c>
      <c r="F409">
        <v>137000</v>
      </c>
      <c r="G409" s="1">
        <v>4.4999999999999998E-2</v>
      </c>
      <c r="H409" s="1">
        <v>4.4999999999999998E-2</v>
      </c>
      <c r="I409" s="1">
        <v>4.4999999999999998E-2</v>
      </c>
      <c r="J409" s="1">
        <v>0.33829999999999999</v>
      </c>
    </row>
    <row r="410" spans="1:10" x14ac:dyDescent="0.2">
      <c r="A410" t="str">
        <f>"14/01/2025"</f>
        <v>14/01/2025</v>
      </c>
      <c r="B410">
        <v>1</v>
      </c>
      <c r="C410">
        <v>140000</v>
      </c>
      <c r="D410">
        <v>363548</v>
      </c>
      <c r="E410">
        <v>140000</v>
      </c>
      <c r="F410">
        <v>140000</v>
      </c>
      <c r="G410" s="1">
        <v>4.4999999999999998E-2</v>
      </c>
      <c r="H410" s="1">
        <v>4.4999999999999998E-2</v>
      </c>
      <c r="I410" s="1">
        <v>4.4999999999999998E-2</v>
      </c>
      <c r="J410" s="1">
        <v>0.33900000000000002</v>
      </c>
    </row>
    <row r="411" spans="1:10" x14ac:dyDescent="0.2">
      <c r="A411" t="str">
        <f>"13/01/2025"</f>
        <v>13/01/2025</v>
      </c>
      <c r="B411">
        <v>1</v>
      </c>
      <c r="C411">
        <v>143000</v>
      </c>
      <c r="D411">
        <v>366756</v>
      </c>
      <c r="E411">
        <v>143000</v>
      </c>
      <c r="F411">
        <v>143000</v>
      </c>
      <c r="G411" s="1">
        <v>4.4999999999999998E-2</v>
      </c>
      <c r="H411" s="1">
        <v>4.4999999999999998E-2</v>
      </c>
      <c r="I411" s="1">
        <v>4.4999999999999998E-2</v>
      </c>
      <c r="J411" s="1">
        <v>0.35110000000000002</v>
      </c>
    </row>
    <row r="412" spans="1:10" x14ac:dyDescent="0.2">
      <c r="A412" t="str">
        <f>"12/01/2025"</f>
        <v>12/01/2025</v>
      </c>
      <c r="B412">
        <v>1</v>
      </c>
      <c r="C412">
        <v>141000</v>
      </c>
      <c r="D412">
        <v>336722</v>
      </c>
      <c r="E412">
        <v>141000</v>
      </c>
      <c r="F412">
        <v>141000</v>
      </c>
      <c r="G412" s="1">
        <v>4.4999999999999998E-2</v>
      </c>
      <c r="H412" s="1">
        <v>4.4999999999999998E-2</v>
      </c>
      <c r="I412" s="1">
        <v>4.4999999999999998E-2</v>
      </c>
      <c r="J412" s="1">
        <v>0.3795</v>
      </c>
    </row>
    <row r="413" spans="1:10" x14ac:dyDescent="0.2">
      <c r="A413" t="str">
        <f>"09/01/2025"</f>
        <v>09/01/2025</v>
      </c>
      <c r="B413">
        <v>3</v>
      </c>
      <c r="C413">
        <v>139000</v>
      </c>
      <c r="D413">
        <v>291787</v>
      </c>
      <c r="E413">
        <v>139000</v>
      </c>
      <c r="F413">
        <v>139000</v>
      </c>
      <c r="G413" s="1">
        <v>4.4999999999999998E-2</v>
      </c>
      <c r="H413" s="1">
        <v>4.4999999999999998E-2</v>
      </c>
      <c r="I413" s="1">
        <v>4.4999999999999998E-2</v>
      </c>
      <c r="J413" s="1">
        <v>0.44119999999999998</v>
      </c>
    </row>
    <row r="414" spans="1:10" x14ac:dyDescent="0.2">
      <c r="A414" t="str">
        <f>"08/01/2025"</f>
        <v>08/01/2025</v>
      </c>
      <c r="B414">
        <v>1</v>
      </c>
      <c r="C414">
        <v>135000</v>
      </c>
      <c r="D414">
        <v>133595</v>
      </c>
      <c r="E414">
        <v>133595</v>
      </c>
      <c r="F414">
        <v>133595</v>
      </c>
      <c r="G414" s="1">
        <v>4.4999999999999998E-2</v>
      </c>
      <c r="H414" s="1">
        <v>4.4999999999999998E-2</v>
      </c>
      <c r="I414" s="1">
        <v>4.4999999999999998E-2</v>
      </c>
      <c r="J414" s="1">
        <v>1</v>
      </c>
    </row>
    <row r="415" spans="1:10" x14ac:dyDescent="0.2">
      <c r="A415" t="str">
        <f>"07/01/2025"</f>
        <v>07/01/2025</v>
      </c>
      <c r="B415">
        <v>1</v>
      </c>
      <c r="C415">
        <v>134000</v>
      </c>
      <c r="D415">
        <v>315348</v>
      </c>
      <c r="E415">
        <v>134000</v>
      </c>
      <c r="F415">
        <v>134000</v>
      </c>
      <c r="G415" s="1">
        <v>4.4999999999999998E-2</v>
      </c>
      <c r="H415" s="1">
        <v>4.4999999999999998E-2</v>
      </c>
      <c r="I415" s="1">
        <v>4.4999999999999998E-2</v>
      </c>
      <c r="J415" s="1">
        <v>0.38069999999999998</v>
      </c>
    </row>
    <row r="416" spans="1:10" x14ac:dyDescent="0.2">
      <c r="A416" t="str">
        <f>"06/01/2025"</f>
        <v>06/01/2025</v>
      </c>
      <c r="B416">
        <v>1</v>
      </c>
      <c r="C416">
        <v>136000</v>
      </c>
      <c r="D416">
        <v>310846</v>
      </c>
      <c r="E416">
        <v>136000</v>
      </c>
      <c r="F416">
        <v>136000</v>
      </c>
      <c r="G416" s="1">
        <v>4.4999999999999998E-2</v>
      </c>
      <c r="H416" s="1">
        <v>4.4999999999999998E-2</v>
      </c>
      <c r="I416" s="1">
        <v>4.4999999999999998E-2</v>
      </c>
      <c r="J416" s="1">
        <v>0.3901</v>
      </c>
    </row>
    <row r="417" spans="1:10" x14ac:dyDescent="0.2">
      <c r="A417" t="str">
        <f>"05/01/2025"</f>
        <v>05/01/2025</v>
      </c>
      <c r="B417">
        <v>1</v>
      </c>
      <c r="C417">
        <v>137000</v>
      </c>
      <c r="D417">
        <v>306577</v>
      </c>
      <c r="E417">
        <v>137000</v>
      </c>
      <c r="F417">
        <v>137000</v>
      </c>
      <c r="G417" s="1">
        <v>4.4999999999999998E-2</v>
      </c>
      <c r="H417" s="1">
        <v>4.4999999999999998E-2</v>
      </c>
      <c r="I417" s="1">
        <v>4.4999999999999998E-2</v>
      </c>
      <c r="J417" s="1">
        <v>0.40620000000000001</v>
      </c>
    </row>
    <row r="418" spans="1:10" x14ac:dyDescent="0.2">
      <c r="A418" t="str">
        <f>"02/01/2025"</f>
        <v>02/01/2025</v>
      </c>
      <c r="B418">
        <v>3</v>
      </c>
      <c r="C418">
        <v>137000</v>
      </c>
      <c r="D418">
        <v>290266</v>
      </c>
      <c r="E418">
        <v>137000</v>
      </c>
      <c r="F418">
        <v>137000</v>
      </c>
      <c r="G418" s="1">
        <v>4.4999999999999998E-2</v>
      </c>
      <c r="H418" s="1">
        <v>4.4999999999999998E-2</v>
      </c>
      <c r="I418" s="1">
        <v>4.4999999999999998E-2</v>
      </c>
      <c r="J418" s="1">
        <v>0.43759999999999999</v>
      </c>
    </row>
    <row r="419" spans="1:10" x14ac:dyDescent="0.2">
      <c r="A419" t="str">
        <f>"01/01/2025"</f>
        <v>01/01/2025</v>
      </c>
      <c r="B419">
        <v>1</v>
      </c>
      <c r="C419">
        <v>138000</v>
      </c>
      <c r="D419">
        <v>305921</v>
      </c>
      <c r="E419">
        <v>138000</v>
      </c>
      <c r="F419">
        <v>138000</v>
      </c>
      <c r="G419" s="1">
        <v>4.4999999999999998E-2</v>
      </c>
      <c r="H419" s="1">
        <v>4.4999999999999998E-2</v>
      </c>
      <c r="I419" s="1">
        <v>4.4999999999999998E-2</v>
      </c>
      <c r="J419" s="1">
        <v>0.42299999999999999</v>
      </c>
    </row>
    <row r="420" spans="1:10" x14ac:dyDescent="0.2">
      <c r="A420" t="str">
        <f>"31/12/2024"</f>
        <v>31/12/2024</v>
      </c>
      <c r="B420">
        <v>1</v>
      </c>
      <c r="C420">
        <v>128000</v>
      </c>
      <c r="D420">
        <v>264219</v>
      </c>
      <c r="E420">
        <v>128000</v>
      </c>
      <c r="F420">
        <v>128000</v>
      </c>
      <c r="G420" s="1">
        <v>4.4999999999999998E-2</v>
      </c>
      <c r="H420" s="1">
        <v>4.4999999999999998E-2</v>
      </c>
      <c r="I420" s="1">
        <v>4.4999999999999998E-2</v>
      </c>
      <c r="J420" s="1">
        <v>0.45490000000000003</v>
      </c>
    </row>
    <row r="421" spans="1:10" x14ac:dyDescent="0.2">
      <c r="A421" t="str">
        <f>"30/12/2024"</f>
        <v>30/12/2024</v>
      </c>
      <c r="B421">
        <v>1</v>
      </c>
      <c r="C421">
        <v>122000</v>
      </c>
      <c r="D421">
        <v>244483</v>
      </c>
      <c r="E421">
        <v>122000</v>
      </c>
      <c r="F421">
        <v>122000</v>
      </c>
      <c r="G421" s="1">
        <v>4.4999999999999998E-2</v>
      </c>
      <c r="H421" s="1">
        <v>4.4999999999999998E-2</v>
      </c>
      <c r="I421" s="1">
        <v>4.4999999999999998E-2</v>
      </c>
      <c r="J421" s="1">
        <v>0.45710000000000001</v>
      </c>
    </row>
    <row r="422" spans="1:10" x14ac:dyDescent="0.2">
      <c r="A422" t="str">
        <f>"29/12/2024"</f>
        <v>29/12/2024</v>
      </c>
      <c r="B422">
        <v>1</v>
      </c>
      <c r="C422">
        <v>120000</v>
      </c>
      <c r="D422">
        <v>236783</v>
      </c>
      <c r="E422">
        <v>120000</v>
      </c>
      <c r="F422">
        <v>120000</v>
      </c>
      <c r="G422" s="1">
        <v>4.4999999999999998E-2</v>
      </c>
      <c r="H422" s="1">
        <v>4.4999999999999998E-2</v>
      </c>
      <c r="I422" s="1">
        <v>4.4999999999999998E-2</v>
      </c>
      <c r="J422" s="1">
        <v>0.4657</v>
      </c>
    </row>
    <row r="423" spans="1:10" x14ac:dyDescent="0.2">
      <c r="A423" t="str">
        <f>"26/12/2024"</f>
        <v>26/12/2024</v>
      </c>
      <c r="B423">
        <v>3</v>
      </c>
      <c r="C423">
        <v>120000</v>
      </c>
      <c r="D423">
        <v>239188</v>
      </c>
      <c r="E423">
        <v>120000</v>
      </c>
      <c r="F423">
        <v>120000</v>
      </c>
      <c r="G423" s="1">
        <v>4.4999999999999998E-2</v>
      </c>
      <c r="H423" s="1">
        <v>4.4999999999999998E-2</v>
      </c>
      <c r="I423" s="1">
        <v>4.4999999999999998E-2</v>
      </c>
      <c r="J423" s="1">
        <v>0.46379999999999999</v>
      </c>
    </row>
    <row r="424" spans="1:10" x14ac:dyDescent="0.2">
      <c r="A424" t="str">
        <f>"25/12/2024"</f>
        <v>25/12/2024</v>
      </c>
      <c r="B424">
        <v>1</v>
      </c>
      <c r="C424">
        <v>117000</v>
      </c>
      <c r="D424">
        <v>233753</v>
      </c>
      <c r="E424">
        <v>117000</v>
      </c>
      <c r="F424">
        <v>117000</v>
      </c>
      <c r="G424" s="1">
        <v>4.4999999999999998E-2</v>
      </c>
      <c r="H424" s="1">
        <v>4.4999999999999998E-2</v>
      </c>
      <c r="I424" s="1">
        <v>4.4999999999999998E-2</v>
      </c>
      <c r="J424" s="1">
        <v>0.45019999999999999</v>
      </c>
    </row>
    <row r="425" spans="1:10" x14ac:dyDescent="0.2">
      <c r="A425" t="str">
        <f>"24/12/2024"</f>
        <v>24/12/2024</v>
      </c>
      <c r="B425">
        <v>1</v>
      </c>
      <c r="C425">
        <v>116000</v>
      </c>
      <c r="D425">
        <v>238499</v>
      </c>
      <c r="E425">
        <v>116000</v>
      </c>
      <c r="F425">
        <v>116000</v>
      </c>
      <c r="G425" s="1">
        <v>4.4999999999999998E-2</v>
      </c>
      <c r="H425" s="1">
        <v>4.4999999999999998E-2</v>
      </c>
      <c r="I425" s="1">
        <v>4.4999999999999998E-2</v>
      </c>
      <c r="J425" s="1">
        <v>0.4335</v>
      </c>
    </row>
    <row r="426" spans="1:10" x14ac:dyDescent="0.2">
      <c r="A426" t="str">
        <f>"23/12/2024"</f>
        <v>23/12/2024</v>
      </c>
      <c r="B426">
        <v>1</v>
      </c>
      <c r="C426">
        <v>121000</v>
      </c>
      <c r="D426">
        <v>249395</v>
      </c>
      <c r="E426">
        <v>121000</v>
      </c>
      <c r="F426">
        <v>121000</v>
      </c>
      <c r="G426" s="1">
        <v>4.4999999999999998E-2</v>
      </c>
      <c r="H426" s="1">
        <v>4.4999999999999998E-2</v>
      </c>
      <c r="I426" s="1">
        <v>4.4999999999999998E-2</v>
      </c>
      <c r="J426" s="1">
        <v>0.42580000000000001</v>
      </c>
    </row>
    <row r="427" spans="1:10" x14ac:dyDescent="0.2">
      <c r="A427" t="str">
        <f>"22/12/2024"</f>
        <v>22/12/2024</v>
      </c>
      <c r="B427">
        <v>1</v>
      </c>
      <c r="C427">
        <v>115000</v>
      </c>
      <c r="D427">
        <v>239220</v>
      </c>
      <c r="E427">
        <v>115000</v>
      </c>
      <c r="F427">
        <v>115000</v>
      </c>
      <c r="G427" s="1">
        <v>4.4999999999999998E-2</v>
      </c>
      <c r="H427" s="1">
        <v>4.4999999999999998E-2</v>
      </c>
      <c r="I427" s="1">
        <v>4.4999999999999998E-2</v>
      </c>
      <c r="J427" s="1">
        <v>0.42870000000000003</v>
      </c>
    </row>
    <row r="428" spans="1:10" x14ac:dyDescent="0.2">
      <c r="A428" t="str">
        <f>"19/12/2024"</f>
        <v>19/12/2024</v>
      </c>
      <c r="B428">
        <v>3</v>
      </c>
      <c r="C428">
        <v>120000</v>
      </c>
      <c r="D428">
        <v>232547</v>
      </c>
      <c r="E428">
        <v>120000</v>
      </c>
      <c r="F428">
        <v>120000</v>
      </c>
      <c r="G428" s="1">
        <v>4.4999999999999998E-2</v>
      </c>
      <c r="H428" s="1">
        <v>4.4999999999999998E-2</v>
      </c>
      <c r="I428" s="1">
        <v>4.4999999999999998E-2</v>
      </c>
      <c r="J428" s="1">
        <v>0.47210000000000002</v>
      </c>
    </row>
    <row r="429" spans="1:10" x14ac:dyDescent="0.2">
      <c r="A429" t="str">
        <f>"18/12/2024"</f>
        <v>18/12/2024</v>
      </c>
      <c r="B429">
        <v>1</v>
      </c>
      <c r="C429">
        <v>121000</v>
      </c>
      <c r="D429">
        <v>248620</v>
      </c>
      <c r="E429">
        <v>121000</v>
      </c>
      <c r="F429">
        <v>121000</v>
      </c>
      <c r="G429" s="1">
        <v>4.4999999999999998E-2</v>
      </c>
      <c r="H429" s="1">
        <v>4.4999999999999998E-2</v>
      </c>
      <c r="I429" s="1">
        <v>4.4999999999999998E-2</v>
      </c>
      <c r="J429" s="1">
        <v>0.43709999999999999</v>
      </c>
    </row>
    <row r="430" spans="1:10" x14ac:dyDescent="0.2">
      <c r="A430" t="str">
        <f>"17/12/2024"</f>
        <v>17/12/2024</v>
      </c>
      <c r="B430">
        <v>1</v>
      </c>
      <c r="C430">
        <v>123000</v>
      </c>
      <c r="D430">
        <v>253459</v>
      </c>
      <c r="E430">
        <v>123000</v>
      </c>
      <c r="F430">
        <v>123000</v>
      </c>
      <c r="G430" s="1">
        <v>4.4999999999999998E-2</v>
      </c>
      <c r="H430" s="1">
        <v>4.4999999999999998E-2</v>
      </c>
      <c r="I430" s="1">
        <v>4.4999999999999998E-2</v>
      </c>
      <c r="J430" s="1">
        <v>0.44040000000000001</v>
      </c>
    </row>
    <row r="431" spans="1:10" x14ac:dyDescent="0.2">
      <c r="A431" t="str">
        <f>"16/12/2024"</f>
        <v>16/12/2024</v>
      </c>
      <c r="B431">
        <v>1</v>
      </c>
      <c r="C431">
        <v>129000</v>
      </c>
      <c r="D431">
        <v>267703</v>
      </c>
      <c r="E431">
        <v>129000</v>
      </c>
      <c r="F431">
        <v>129000</v>
      </c>
      <c r="G431" s="1">
        <v>4.4999999999999998E-2</v>
      </c>
      <c r="H431" s="1">
        <v>4.4999999999999998E-2</v>
      </c>
      <c r="I431" s="1">
        <v>4.4999999999999998E-2</v>
      </c>
      <c r="J431" s="1">
        <v>0.43869999999999998</v>
      </c>
    </row>
    <row r="432" spans="1:10" x14ac:dyDescent="0.2">
      <c r="A432" t="str">
        <f>"15/12/2024"</f>
        <v>15/12/2024</v>
      </c>
      <c r="B432">
        <v>1</v>
      </c>
      <c r="C432">
        <v>132000</v>
      </c>
      <c r="D432">
        <v>288127</v>
      </c>
      <c r="E432">
        <v>132000</v>
      </c>
      <c r="F432">
        <v>132000</v>
      </c>
      <c r="G432" s="1">
        <v>4.4999999999999998E-2</v>
      </c>
      <c r="H432" s="1">
        <v>4.4999999999999998E-2</v>
      </c>
      <c r="I432" s="1">
        <v>4.4999999999999998E-2</v>
      </c>
      <c r="J432" s="1">
        <v>0.41770000000000002</v>
      </c>
    </row>
    <row r="433" spans="1:10" x14ac:dyDescent="0.2">
      <c r="A433" t="str">
        <f>"12/12/2024"</f>
        <v>12/12/2024</v>
      </c>
      <c r="B433">
        <v>3</v>
      </c>
      <c r="C433">
        <v>134000</v>
      </c>
      <c r="D433">
        <v>305570</v>
      </c>
      <c r="E433">
        <v>134000</v>
      </c>
      <c r="F433">
        <v>134000</v>
      </c>
      <c r="G433" s="1">
        <v>4.4999999999999998E-2</v>
      </c>
      <c r="H433" s="1">
        <v>4.4999999999999998E-2</v>
      </c>
      <c r="I433" s="1">
        <v>4.4999999999999998E-2</v>
      </c>
      <c r="J433" s="1">
        <v>0.40450000000000003</v>
      </c>
    </row>
    <row r="434" spans="1:10" x14ac:dyDescent="0.2">
      <c r="A434" t="str">
        <f>"11/12/2024"</f>
        <v>11/12/2024</v>
      </c>
      <c r="B434">
        <v>1</v>
      </c>
      <c r="C434">
        <v>134000</v>
      </c>
      <c r="D434">
        <v>324647</v>
      </c>
      <c r="E434">
        <v>134000</v>
      </c>
      <c r="F434">
        <v>134000</v>
      </c>
      <c r="G434" s="1">
        <v>4.4999999999999998E-2</v>
      </c>
      <c r="H434" s="1">
        <v>4.4999999999999998E-2</v>
      </c>
      <c r="I434" s="1">
        <v>4.4999999999999998E-2</v>
      </c>
      <c r="J434" s="1">
        <v>0.37759999999999999</v>
      </c>
    </row>
    <row r="435" spans="1:10" x14ac:dyDescent="0.2">
      <c r="A435" t="str">
        <f>"10/12/2024"</f>
        <v>10/12/2024</v>
      </c>
      <c r="B435">
        <v>1</v>
      </c>
      <c r="C435">
        <v>133000</v>
      </c>
      <c r="D435">
        <v>325921</v>
      </c>
      <c r="E435">
        <v>133000</v>
      </c>
      <c r="F435">
        <v>133000</v>
      </c>
      <c r="G435" s="1">
        <v>4.4999999999999998E-2</v>
      </c>
      <c r="H435" s="1">
        <v>4.4999999999999998E-2</v>
      </c>
      <c r="I435" s="1">
        <v>4.4999999999999998E-2</v>
      </c>
      <c r="J435" s="1">
        <v>0.37380000000000002</v>
      </c>
    </row>
    <row r="436" spans="1:10" x14ac:dyDescent="0.2">
      <c r="A436" t="str">
        <f>"09/12/2024"</f>
        <v>09/12/2024</v>
      </c>
      <c r="B436">
        <v>1</v>
      </c>
      <c r="C436">
        <v>136000</v>
      </c>
      <c r="D436">
        <v>323603</v>
      </c>
      <c r="E436">
        <v>136000</v>
      </c>
      <c r="F436">
        <v>136000</v>
      </c>
      <c r="G436" s="1">
        <v>4.4999999999999998E-2</v>
      </c>
      <c r="H436" s="1">
        <v>4.4999999999999998E-2</v>
      </c>
      <c r="I436" s="1">
        <v>4.4999999999999998E-2</v>
      </c>
      <c r="J436" s="1">
        <v>0.38390000000000002</v>
      </c>
    </row>
    <row r="437" spans="1:10" x14ac:dyDescent="0.2">
      <c r="A437" t="str">
        <f>"08/12/2024"</f>
        <v>08/12/2024</v>
      </c>
      <c r="B437">
        <v>1</v>
      </c>
      <c r="C437">
        <v>135000</v>
      </c>
      <c r="D437">
        <v>323149</v>
      </c>
      <c r="E437">
        <v>135000</v>
      </c>
      <c r="F437">
        <v>135000</v>
      </c>
      <c r="G437" s="1">
        <v>4.4999999999999998E-2</v>
      </c>
      <c r="H437" s="1">
        <v>4.4999999999999998E-2</v>
      </c>
      <c r="I437" s="1">
        <v>4.4999999999999998E-2</v>
      </c>
      <c r="J437" s="1">
        <v>0.3836</v>
      </c>
    </row>
    <row r="438" spans="1:10" x14ac:dyDescent="0.2">
      <c r="A438" t="str">
        <f>"05/12/2024"</f>
        <v>05/12/2024</v>
      </c>
      <c r="B438">
        <v>3</v>
      </c>
      <c r="C438">
        <v>136000</v>
      </c>
      <c r="D438">
        <v>339315</v>
      </c>
      <c r="E438">
        <v>136000</v>
      </c>
      <c r="F438">
        <v>136000</v>
      </c>
      <c r="G438" s="1">
        <v>4.4999999999999998E-2</v>
      </c>
      <c r="H438" s="1">
        <v>4.4999999999999998E-2</v>
      </c>
      <c r="I438" s="1">
        <v>4.4999999999999998E-2</v>
      </c>
      <c r="J438" s="1">
        <v>0.37230000000000002</v>
      </c>
    </row>
    <row r="439" spans="1:10" x14ac:dyDescent="0.2">
      <c r="A439" t="str">
        <f>"04/12/2024"</f>
        <v>04/12/2024</v>
      </c>
      <c r="B439">
        <v>1</v>
      </c>
      <c r="C439">
        <v>135000</v>
      </c>
      <c r="D439">
        <v>343585</v>
      </c>
      <c r="E439">
        <v>135000</v>
      </c>
      <c r="F439">
        <v>135000</v>
      </c>
      <c r="G439" s="1">
        <v>4.4999999999999998E-2</v>
      </c>
      <c r="H439" s="1">
        <v>4.4999999999999998E-2</v>
      </c>
      <c r="I439" s="1">
        <v>4.4999999999999998E-2</v>
      </c>
      <c r="J439" s="1">
        <v>0.35189999999999999</v>
      </c>
    </row>
    <row r="440" spans="1:10" x14ac:dyDescent="0.2">
      <c r="A440" t="str">
        <f>"03/12/2024"</f>
        <v>03/12/2024</v>
      </c>
      <c r="B440">
        <v>1</v>
      </c>
      <c r="C440">
        <v>130000</v>
      </c>
      <c r="D440">
        <v>358123</v>
      </c>
      <c r="E440">
        <v>130000</v>
      </c>
      <c r="F440">
        <v>130000</v>
      </c>
      <c r="G440" s="1">
        <v>4.4999999999999998E-2</v>
      </c>
      <c r="H440" s="1">
        <v>4.4999999999999998E-2</v>
      </c>
      <c r="I440" s="1">
        <v>4.4999999999999998E-2</v>
      </c>
      <c r="J440" s="1">
        <v>0.32869999999999999</v>
      </c>
    </row>
    <row r="441" spans="1:10" x14ac:dyDescent="0.2">
      <c r="A441" t="str">
        <f>"02/12/2024"</f>
        <v>02/12/2024</v>
      </c>
      <c r="B441">
        <v>1</v>
      </c>
      <c r="C441">
        <v>134000</v>
      </c>
      <c r="D441">
        <v>345157</v>
      </c>
      <c r="E441">
        <v>134000</v>
      </c>
      <c r="F441">
        <v>134000</v>
      </c>
      <c r="G441" s="1">
        <v>4.4999999999999998E-2</v>
      </c>
      <c r="H441" s="1">
        <v>4.4999999999999998E-2</v>
      </c>
      <c r="I441" s="1">
        <v>4.4999999999999998E-2</v>
      </c>
      <c r="J441" s="1">
        <v>0.34229999999999999</v>
      </c>
    </row>
    <row r="442" spans="1:10" x14ac:dyDescent="0.2">
      <c r="A442" t="str">
        <f>"01/12/2024"</f>
        <v>01/12/2024</v>
      </c>
      <c r="B442">
        <v>1</v>
      </c>
      <c r="C442">
        <v>136000</v>
      </c>
      <c r="D442">
        <v>313045</v>
      </c>
      <c r="E442">
        <v>136000</v>
      </c>
      <c r="F442">
        <v>136000</v>
      </c>
      <c r="G442" s="1">
        <v>4.4999999999999998E-2</v>
      </c>
      <c r="H442" s="1">
        <v>4.4999999999999998E-2</v>
      </c>
      <c r="I442" s="1">
        <v>4.4999999999999998E-2</v>
      </c>
      <c r="J442" s="1">
        <v>0.39179999999999998</v>
      </c>
    </row>
    <row r="443" spans="1:10" x14ac:dyDescent="0.2">
      <c r="A443" t="str">
        <f>"28/11/2024"</f>
        <v>28/11/2024</v>
      </c>
      <c r="B443">
        <v>3</v>
      </c>
      <c r="C443">
        <v>111000</v>
      </c>
      <c r="D443">
        <v>234483</v>
      </c>
      <c r="E443">
        <v>111000</v>
      </c>
      <c r="F443">
        <v>111000</v>
      </c>
      <c r="G443" s="1">
        <v>4.4999999999999998E-2</v>
      </c>
      <c r="H443" s="1">
        <v>4.4999999999999998E-2</v>
      </c>
      <c r="I443" s="1">
        <v>4.4999999999999998E-2</v>
      </c>
      <c r="J443" s="1">
        <v>0.43719999999999998</v>
      </c>
    </row>
    <row r="444" spans="1:10" x14ac:dyDescent="0.2">
      <c r="A444" t="str">
        <f>"27/11/2024"</f>
        <v>27/11/2024</v>
      </c>
      <c r="B444">
        <v>1</v>
      </c>
      <c r="C444">
        <v>98000</v>
      </c>
      <c r="D444">
        <v>92544</v>
      </c>
      <c r="E444">
        <v>92544</v>
      </c>
      <c r="F444">
        <v>92544</v>
      </c>
      <c r="G444" s="1">
        <v>4.4999999999999998E-2</v>
      </c>
      <c r="H444" s="1">
        <v>4.4999999999999998E-2</v>
      </c>
      <c r="I444" s="1">
        <v>4.4999999999999998E-2</v>
      </c>
      <c r="J444" s="1">
        <v>1</v>
      </c>
    </row>
    <row r="445" spans="1:10" x14ac:dyDescent="0.2">
      <c r="A445" t="str">
        <f>"26/11/2024"</f>
        <v>26/11/2024</v>
      </c>
      <c r="B445">
        <v>1</v>
      </c>
      <c r="C445">
        <v>97000</v>
      </c>
      <c r="D445">
        <v>206808</v>
      </c>
      <c r="E445">
        <v>97000</v>
      </c>
      <c r="F445">
        <v>97000</v>
      </c>
      <c r="G445" s="1">
        <v>4.4999999999999998E-2</v>
      </c>
      <c r="H445" s="1">
        <v>4.4999999999999998E-2</v>
      </c>
      <c r="I445" s="1">
        <v>4.4999999999999998E-2</v>
      </c>
      <c r="J445" s="1">
        <v>0.4204</v>
      </c>
    </row>
    <row r="446" spans="1:10" x14ac:dyDescent="0.2">
      <c r="A446" t="str">
        <f>"25/11/2024"</f>
        <v>25/11/2024</v>
      </c>
      <c r="B446">
        <v>1</v>
      </c>
      <c r="C446">
        <v>101000</v>
      </c>
      <c r="D446">
        <v>228927</v>
      </c>
      <c r="E446">
        <v>101000</v>
      </c>
      <c r="F446">
        <v>101000</v>
      </c>
      <c r="G446" s="1">
        <v>4.4999999999999998E-2</v>
      </c>
      <c r="H446" s="1">
        <v>4.4999999999999998E-2</v>
      </c>
      <c r="I446" s="1">
        <v>4.4999999999999998E-2</v>
      </c>
      <c r="J446" s="1">
        <v>0.39610000000000001</v>
      </c>
    </row>
    <row r="447" spans="1:10" x14ac:dyDescent="0.2">
      <c r="A447" t="str">
        <f>"24/11/2024"</f>
        <v>24/11/2024</v>
      </c>
      <c r="B447">
        <v>1</v>
      </c>
      <c r="C447">
        <v>100000</v>
      </c>
      <c r="D447">
        <v>253832</v>
      </c>
      <c r="E447">
        <v>100000</v>
      </c>
      <c r="F447">
        <v>100000</v>
      </c>
      <c r="G447" s="1">
        <v>4.4999999999999998E-2</v>
      </c>
      <c r="H447" s="1">
        <v>4.4999999999999998E-2</v>
      </c>
      <c r="I447" s="1">
        <v>4.4999999999999998E-2</v>
      </c>
      <c r="J447" s="1">
        <v>0.34839999999999999</v>
      </c>
    </row>
    <row r="448" spans="1:10" x14ac:dyDescent="0.2">
      <c r="A448" t="str">
        <f>"21/11/2024"</f>
        <v>21/11/2024</v>
      </c>
      <c r="B448">
        <v>3</v>
      </c>
      <c r="C448">
        <v>103000</v>
      </c>
      <c r="D448">
        <v>279168</v>
      </c>
      <c r="E448">
        <v>103000</v>
      </c>
      <c r="F448">
        <v>103000</v>
      </c>
      <c r="G448" s="1">
        <v>4.4999999999999998E-2</v>
      </c>
      <c r="H448" s="1">
        <v>4.4999999999999998E-2</v>
      </c>
      <c r="I448" s="1">
        <v>4.4999999999999998E-2</v>
      </c>
      <c r="J448" s="1">
        <v>0.33179999999999998</v>
      </c>
    </row>
    <row r="449" spans="1:10" x14ac:dyDescent="0.2">
      <c r="A449" t="str">
        <f>"20/11/2024"</f>
        <v>20/11/2024</v>
      </c>
      <c r="B449">
        <v>1</v>
      </c>
      <c r="C449">
        <v>108000</v>
      </c>
      <c r="D449">
        <v>293610</v>
      </c>
      <c r="E449">
        <v>108000</v>
      </c>
      <c r="F449">
        <v>108000</v>
      </c>
      <c r="G449" s="1">
        <v>4.4999999999999998E-2</v>
      </c>
      <c r="H449" s="1">
        <v>4.4999999999999998E-2</v>
      </c>
      <c r="I449" s="1">
        <v>4.4999999999999998E-2</v>
      </c>
      <c r="J449" s="1">
        <v>0.32290000000000002</v>
      </c>
    </row>
    <row r="450" spans="1:10" x14ac:dyDescent="0.2">
      <c r="A450" t="str">
        <f>"19/11/2024"</f>
        <v>19/11/2024</v>
      </c>
      <c r="B450">
        <v>1</v>
      </c>
      <c r="C450">
        <v>112000</v>
      </c>
      <c r="D450">
        <v>310544</v>
      </c>
      <c r="E450">
        <v>112000</v>
      </c>
      <c r="F450">
        <v>112000</v>
      </c>
      <c r="G450" s="1">
        <v>4.4999999999999998E-2</v>
      </c>
      <c r="H450" s="1">
        <v>4.4999999999999998E-2</v>
      </c>
      <c r="I450" s="1">
        <v>4.4999999999999998E-2</v>
      </c>
      <c r="J450" s="1">
        <v>0.3175</v>
      </c>
    </row>
    <row r="451" spans="1:10" x14ac:dyDescent="0.2">
      <c r="A451" t="str">
        <f>"18/11/2024"</f>
        <v>18/11/2024</v>
      </c>
      <c r="B451">
        <v>1</v>
      </c>
      <c r="C451">
        <v>118000</v>
      </c>
      <c r="D451">
        <v>332452</v>
      </c>
      <c r="E451">
        <v>118000</v>
      </c>
      <c r="F451">
        <v>118000</v>
      </c>
      <c r="G451" s="1">
        <v>4.4999999999999998E-2</v>
      </c>
      <c r="H451" s="1">
        <v>4.4999999999999998E-2</v>
      </c>
      <c r="I451" s="1">
        <v>4.4999999999999998E-2</v>
      </c>
      <c r="J451" s="1">
        <v>0.3155</v>
      </c>
    </row>
    <row r="452" spans="1:10" x14ac:dyDescent="0.2">
      <c r="A452" t="str">
        <f>"17/11/2024"</f>
        <v>17/11/2024</v>
      </c>
      <c r="B452">
        <v>1</v>
      </c>
      <c r="C452">
        <v>121000</v>
      </c>
      <c r="D452">
        <v>343520</v>
      </c>
      <c r="E452">
        <v>121000</v>
      </c>
      <c r="F452">
        <v>121000</v>
      </c>
      <c r="G452" s="1">
        <v>4.4999999999999998E-2</v>
      </c>
      <c r="H452" s="1">
        <v>4.4999999999999998E-2</v>
      </c>
      <c r="I452" s="1">
        <v>4.4999999999999998E-2</v>
      </c>
      <c r="J452" s="1">
        <v>0.31459999999999999</v>
      </c>
    </row>
    <row r="453" spans="1:10" x14ac:dyDescent="0.2">
      <c r="A453" t="str">
        <f>"14/11/2024"</f>
        <v>14/11/2024</v>
      </c>
      <c r="B453">
        <v>3</v>
      </c>
      <c r="C453">
        <v>126000</v>
      </c>
      <c r="D453">
        <v>351147</v>
      </c>
      <c r="E453">
        <v>126000</v>
      </c>
      <c r="F453">
        <v>126000</v>
      </c>
      <c r="G453" s="1">
        <v>4.4999999999999998E-2</v>
      </c>
      <c r="H453" s="1">
        <v>4.4999999999999998E-2</v>
      </c>
      <c r="I453" s="1">
        <v>4.4999999999999998E-2</v>
      </c>
      <c r="J453" s="1">
        <v>0.3251</v>
      </c>
    </row>
    <row r="454" spans="1:10" x14ac:dyDescent="0.2">
      <c r="A454" t="str">
        <f>"13/11/2024"</f>
        <v>13/11/2024</v>
      </c>
      <c r="B454">
        <v>1</v>
      </c>
      <c r="C454">
        <v>127000</v>
      </c>
      <c r="D454">
        <v>358003</v>
      </c>
      <c r="E454">
        <v>127000</v>
      </c>
      <c r="F454">
        <v>127000</v>
      </c>
      <c r="G454" s="1">
        <v>4.4999999999999998E-2</v>
      </c>
      <c r="H454" s="1">
        <v>4.4999999999999998E-2</v>
      </c>
      <c r="I454" s="1">
        <v>4.4999999999999998E-2</v>
      </c>
      <c r="J454" s="1">
        <v>0.30709999999999998</v>
      </c>
    </row>
    <row r="455" spans="1:10" x14ac:dyDescent="0.2">
      <c r="A455" t="str">
        <f>"12/11/2024"</f>
        <v>12/11/2024</v>
      </c>
      <c r="B455">
        <v>1</v>
      </c>
      <c r="C455">
        <v>128000</v>
      </c>
      <c r="D455">
        <v>384272</v>
      </c>
      <c r="E455">
        <v>128000</v>
      </c>
      <c r="F455">
        <v>128000</v>
      </c>
      <c r="G455" s="1">
        <v>4.4999999999999998E-2</v>
      </c>
      <c r="H455" s="1">
        <v>4.4999999999999998E-2</v>
      </c>
      <c r="I455" s="1">
        <v>4.4999999999999998E-2</v>
      </c>
      <c r="J455" s="1">
        <v>0.28960000000000002</v>
      </c>
    </row>
    <row r="456" spans="1:10" x14ac:dyDescent="0.2">
      <c r="A456" t="str">
        <f>"11/11/2024"</f>
        <v>11/11/2024</v>
      </c>
      <c r="B456">
        <v>1</v>
      </c>
      <c r="C456">
        <v>130000</v>
      </c>
      <c r="D456">
        <v>396508</v>
      </c>
      <c r="E456">
        <v>130000</v>
      </c>
      <c r="F456">
        <v>130000</v>
      </c>
      <c r="G456" s="1">
        <v>4.4999999999999998E-2</v>
      </c>
      <c r="H456" s="1">
        <v>4.4999999999999998E-2</v>
      </c>
      <c r="I456" s="1">
        <v>4.4999999999999998E-2</v>
      </c>
      <c r="J456" s="1">
        <v>0.28100000000000003</v>
      </c>
    </row>
    <row r="457" spans="1:10" x14ac:dyDescent="0.2">
      <c r="A457" t="str">
        <f>"10/11/2024"</f>
        <v>10/11/2024</v>
      </c>
      <c r="B457">
        <v>1</v>
      </c>
      <c r="C457">
        <v>130000</v>
      </c>
      <c r="D457">
        <v>365513</v>
      </c>
      <c r="E457">
        <v>130000</v>
      </c>
      <c r="F457">
        <v>130000</v>
      </c>
      <c r="G457" s="1">
        <v>4.4999999999999998E-2</v>
      </c>
      <c r="H457" s="1">
        <v>4.4999999999999998E-2</v>
      </c>
      <c r="I457" s="1">
        <v>4.4999999999999998E-2</v>
      </c>
      <c r="J457" s="1">
        <v>0.29649999999999999</v>
      </c>
    </row>
    <row r="458" spans="1:10" x14ac:dyDescent="0.2">
      <c r="A458" t="str">
        <f>"07/11/2024"</f>
        <v>07/11/2024</v>
      </c>
      <c r="B458">
        <v>3</v>
      </c>
      <c r="C458">
        <v>130000</v>
      </c>
      <c r="D458">
        <v>374141</v>
      </c>
      <c r="E458">
        <v>130000</v>
      </c>
      <c r="F458">
        <v>130000</v>
      </c>
      <c r="G458" s="1">
        <v>4.4999999999999998E-2</v>
      </c>
      <c r="H458" s="1">
        <v>4.4999999999999998E-2</v>
      </c>
      <c r="I458" s="1">
        <v>4.4999999999999998E-2</v>
      </c>
      <c r="J458" s="1">
        <v>0.3085</v>
      </c>
    </row>
    <row r="459" spans="1:10" x14ac:dyDescent="0.2">
      <c r="A459" t="str">
        <f>"06/11/2024"</f>
        <v>06/11/2024</v>
      </c>
      <c r="B459">
        <v>1</v>
      </c>
      <c r="C459">
        <v>130000</v>
      </c>
      <c r="D459">
        <v>388750</v>
      </c>
      <c r="E459">
        <v>130000</v>
      </c>
      <c r="F459">
        <v>130000</v>
      </c>
      <c r="G459" s="1">
        <v>4.4999999999999998E-2</v>
      </c>
      <c r="H459" s="1">
        <v>4.4999999999999998E-2</v>
      </c>
      <c r="I459" s="1">
        <v>4.4999999999999998E-2</v>
      </c>
      <c r="J459" s="1">
        <v>0.29010000000000002</v>
      </c>
    </row>
    <row r="460" spans="1:10" x14ac:dyDescent="0.2">
      <c r="A460" t="str">
        <f>"05/11/2024"</f>
        <v>05/11/2024</v>
      </c>
      <c r="B460">
        <v>1</v>
      </c>
      <c r="C460">
        <v>126000</v>
      </c>
      <c r="D460">
        <v>377553</v>
      </c>
      <c r="E460">
        <v>126000</v>
      </c>
      <c r="F460">
        <v>126000</v>
      </c>
      <c r="G460" s="1">
        <v>4.4999999999999998E-2</v>
      </c>
      <c r="H460" s="1">
        <v>4.4999999999999998E-2</v>
      </c>
      <c r="I460" s="1">
        <v>4.4999999999999998E-2</v>
      </c>
      <c r="J460" s="1">
        <v>0.29380000000000001</v>
      </c>
    </row>
    <row r="461" spans="1:10" x14ac:dyDescent="0.2">
      <c r="A461" t="str">
        <f>"04/11/2024"</f>
        <v>04/11/2024</v>
      </c>
      <c r="B461">
        <v>1</v>
      </c>
      <c r="C461">
        <v>128000</v>
      </c>
      <c r="D461">
        <v>369242</v>
      </c>
      <c r="E461">
        <v>128000</v>
      </c>
      <c r="F461">
        <v>128000</v>
      </c>
      <c r="G461" s="1">
        <v>4.4999999999999998E-2</v>
      </c>
      <c r="H461" s="1">
        <v>4.4999999999999998E-2</v>
      </c>
      <c r="I461" s="1">
        <v>4.4999999999999998E-2</v>
      </c>
      <c r="J461" s="1">
        <v>0.30659999999999998</v>
      </c>
    </row>
    <row r="462" spans="1:10" x14ac:dyDescent="0.2">
      <c r="A462" t="str">
        <f>"03/11/2024"</f>
        <v>03/11/2024</v>
      </c>
      <c r="B462">
        <v>1</v>
      </c>
      <c r="C462">
        <v>127000</v>
      </c>
      <c r="D462">
        <v>350346</v>
      </c>
      <c r="E462">
        <v>127000</v>
      </c>
      <c r="F462">
        <v>127000</v>
      </c>
      <c r="G462" s="1">
        <v>4.4999999999999998E-2</v>
      </c>
      <c r="H462" s="1">
        <v>4.4999999999999998E-2</v>
      </c>
      <c r="I462" s="1">
        <v>4.4999999999999998E-2</v>
      </c>
      <c r="J462" s="1">
        <v>0.32269999999999999</v>
      </c>
    </row>
    <row r="463" spans="1:10" x14ac:dyDescent="0.2">
      <c r="A463" t="str">
        <f>"31/10/2024"</f>
        <v>31/10/2024</v>
      </c>
      <c r="B463">
        <v>3</v>
      </c>
      <c r="C463">
        <v>121000</v>
      </c>
      <c r="D463">
        <v>317375</v>
      </c>
      <c r="E463">
        <v>121000</v>
      </c>
      <c r="F463">
        <v>121000</v>
      </c>
      <c r="G463" s="1">
        <v>4.4999999999999998E-2</v>
      </c>
      <c r="H463" s="1">
        <v>4.4999999999999998E-2</v>
      </c>
      <c r="I463" s="1">
        <v>4.4999999999999998E-2</v>
      </c>
      <c r="J463" s="1">
        <v>0.3417</v>
      </c>
    </row>
    <row r="464" spans="1:10" x14ac:dyDescent="0.2">
      <c r="A464" t="str">
        <f>"30/10/2024"</f>
        <v>30/10/2024</v>
      </c>
      <c r="B464">
        <v>1</v>
      </c>
      <c r="C464">
        <v>109000</v>
      </c>
      <c r="D464">
        <v>294640</v>
      </c>
      <c r="E464">
        <v>109000</v>
      </c>
      <c r="F464">
        <v>109000</v>
      </c>
      <c r="G464" s="1">
        <v>4.4999999999999998E-2</v>
      </c>
      <c r="H464" s="1">
        <v>4.4999999999999998E-2</v>
      </c>
      <c r="I464" s="1">
        <v>4.4999999999999998E-2</v>
      </c>
      <c r="J464" s="1">
        <v>0.32700000000000001</v>
      </c>
    </row>
    <row r="465" spans="1:10" x14ac:dyDescent="0.2">
      <c r="A465" t="str">
        <f>"29/10/2024"</f>
        <v>29/10/2024</v>
      </c>
      <c r="B465">
        <v>1</v>
      </c>
      <c r="C465">
        <v>111000</v>
      </c>
      <c r="D465">
        <v>300490</v>
      </c>
      <c r="E465">
        <v>111000</v>
      </c>
      <c r="F465">
        <v>111000</v>
      </c>
      <c r="G465" s="1">
        <v>4.4999999999999998E-2</v>
      </c>
      <c r="H465" s="1">
        <v>4.4999999999999998E-2</v>
      </c>
      <c r="I465" s="1">
        <v>4.4999999999999998E-2</v>
      </c>
      <c r="J465" s="1">
        <v>0.32529999999999998</v>
      </c>
    </row>
    <row r="466" spans="1:10" x14ac:dyDescent="0.2">
      <c r="A466" t="str">
        <f>"28/10/2024"</f>
        <v>28/10/2024</v>
      </c>
      <c r="B466">
        <v>1</v>
      </c>
      <c r="C466">
        <v>113000</v>
      </c>
      <c r="D466">
        <v>312883</v>
      </c>
      <c r="E466">
        <v>113000</v>
      </c>
      <c r="F466">
        <v>113000</v>
      </c>
      <c r="G466" s="1">
        <v>4.4999999999999998E-2</v>
      </c>
      <c r="H466" s="1">
        <v>4.4999999999999998E-2</v>
      </c>
      <c r="I466" s="1">
        <v>4.4999999999999998E-2</v>
      </c>
      <c r="J466" s="1">
        <v>0.32100000000000001</v>
      </c>
    </row>
    <row r="467" spans="1:10" x14ac:dyDescent="0.2">
      <c r="A467" t="str">
        <f>"27/10/2024"</f>
        <v>27/10/2024</v>
      </c>
      <c r="B467">
        <v>1</v>
      </c>
      <c r="C467">
        <v>112000</v>
      </c>
      <c r="D467">
        <v>290486</v>
      </c>
      <c r="E467">
        <v>112000</v>
      </c>
      <c r="F467">
        <v>112000</v>
      </c>
      <c r="G467" s="1">
        <v>4.4999999999999998E-2</v>
      </c>
      <c r="H467" s="1">
        <v>4.4999999999999998E-2</v>
      </c>
      <c r="I467" s="1">
        <v>4.4999999999999998E-2</v>
      </c>
      <c r="J467" s="1">
        <v>0.34210000000000002</v>
      </c>
    </row>
    <row r="468" spans="1:10" x14ac:dyDescent="0.2">
      <c r="A468" t="str">
        <f>"22/10/2024"</f>
        <v>22/10/2024</v>
      </c>
      <c r="B468">
        <v>5</v>
      </c>
      <c r="C468">
        <v>113000</v>
      </c>
      <c r="D468">
        <v>260301</v>
      </c>
      <c r="E468">
        <v>113000</v>
      </c>
      <c r="F468">
        <v>113000</v>
      </c>
      <c r="G468" s="1">
        <v>4.4999999999999998E-2</v>
      </c>
      <c r="H468" s="1">
        <v>4.4999999999999998E-2</v>
      </c>
      <c r="I468" s="1">
        <v>4.4999999999999998E-2</v>
      </c>
      <c r="J468" s="1">
        <v>0.37959999999999999</v>
      </c>
    </row>
    <row r="469" spans="1:10" x14ac:dyDescent="0.2">
      <c r="A469" t="str">
        <f>"21/10/2024"</f>
        <v>21/10/2024</v>
      </c>
      <c r="B469">
        <v>1</v>
      </c>
      <c r="C469">
        <v>114000</v>
      </c>
      <c r="D469">
        <v>271728</v>
      </c>
      <c r="E469">
        <v>114000</v>
      </c>
      <c r="F469">
        <v>114000</v>
      </c>
      <c r="G469" s="1">
        <v>4.4999999999999998E-2</v>
      </c>
      <c r="H469" s="1">
        <v>4.4999999999999998E-2</v>
      </c>
      <c r="I469" s="1">
        <v>4.4999999999999998E-2</v>
      </c>
      <c r="J469" s="1">
        <v>0.37869999999999998</v>
      </c>
    </row>
    <row r="470" spans="1:10" x14ac:dyDescent="0.2">
      <c r="A470" t="str">
        <f>"20/10/2024"</f>
        <v>20/10/2024</v>
      </c>
      <c r="B470">
        <v>1</v>
      </c>
      <c r="C470">
        <v>114000</v>
      </c>
      <c r="D470">
        <v>280665</v>
      </c>
      <c r="E470">
        <v>114000</v>
      </c>
      <c r="F470">
        <v>114000</v>
      </c>
      <c r="G470" s="1">
        <v>4.4999999999999998E-2</v>
      </c>
      <c r="H470" s="1">
        <v>4.4999999999999998E-2</v>
      </c>
      <c r="I470" s="1">
        <v>4.4999999999999998E-2</v>
      </c>
      <c r="J470" s="1">
        <v>0.36420000000000002</v>
      </c>
    </row>
    <row r="471" spans="1:10" x14ac:dyDescent="0.2">
      <c r="A471" t="str">
        <f>"15/10/2024"</f>
        <v>15/10/2024</v>
      </c>
      <c r="B471">
        <v>5</v>
      </c>
      <c r="C471">
        <v>119000</v>
      </c>
      <c r="D471">
        <v>313739</v>
      </c>
      <c r="E471">
        <v>119000</v>
      </c>
      <c r="F471">
        <v>119000</v>
      </c>
      <c r="G471" s="1">
        <v>4.4999999999999998E-2</v>
      </c>
      <c r="H471" s="1">
        <v>4.4999999999999998E-2</v>
      </c>
      <c r="I471" s="1">
        <v>4.4999999999999998E-2</v>
      </c>
      <c r="J471" s="1">
        <v>0.33850000000000002</v>
      </c>
    </row>
    <row r="472" spans="1:10" x14ac:dyDescent="0.2">
      <c r="A472" t="str">
        <f>"14/10/2024"</f>
        <v>14/10/2024</v>
      </c>
      <c r="B472">
        <v>1</v>
      </c>
      <c r="C472">
        <v>123000</v>
      </c>
      <c r="D472">
        <v>350558</v>
      </c>
      <c r="E472">
        <v>123000</v>
      </c>
      <c r="F472">
        <v>123000</v>
      </c>
      <c r="G472" s="1">
        <v>4.4999999999999998E-2</v>
      </c>
      <c r="H472" s="1">
        <v>4.4999999999999998E-2</v>
      </c>
      <c r="I472" s="1">
        <v>4.4999999999999998E-2</v>
      </c>
      <c r="J472" s="1">
        <v>0.31769999999999998</v>
      </c>
    </row>
    <row r="473" spans="1:10" x14ac:dyDescent="0.2">
      <c r="A473" t="str">
        <f>"13/10/2024"</f>
        <v>13/10/2024</v>
      </c>
      <c r="B473">
        <v>1</v>
      </c>
      <c r="C473">
        <v>123000</v>
      </c>
      <c r="D473">
        <v>304458</v>
      </c>
      <c r="E473">
        <v>123000</v>
      </c>
      <c r="F473">
        <v>123000</v>
      </c>
      <c r="G473" s="1">
        <v>4.4999999999999998E-2</v>
      </c>
      <c r="H473" s="1">
        <v>4.4999999999999998E-2</v>
      </c>
      <c r="I473" s="1">
        <v>4.4999999999999998E-2</v>
      </c>
      <c r="J473" s="1">
        <v>0.36770000000000003</v>
      </c>
    </row>
    <row r="474" spans="1:10" x14ac:dyDescent="0.2">
      <c r="A474" t="str">
        <f>"10/10/2024"</f>
        <v>10/10/2024</v>
      </c>
      <c r="B474">
        <v>3</v>
      </c>
      <c r="C474">
        <v>123000</v>
      </c>
      <c r="D474">
        <v>252004</v>
      </c>
      <c r="E474">
        <v>123000</v>
      </c>
      <c r="F474">
        <v>123000</v>
      </c>
      <c r="G474" s="1">
        <v>4.4999999999999998E-2</v>
      </c>
      <c r="H474" s="1">
        <v>4.4999999999999998E-2</v>
      </c>
      <c r="I474" s="1">
        <v>4.4999999999999998E-2</v>
      </c>
      <c r="J474" s="1">
        <v>0.45200000000000001</v>
      </c>
    </row>
    <row r="475" spans="1:10" x14ac:dyDescent="0.2">
      <c r="A475" t="str">
        <f>"09/10/2024"</f>
        <v>09/10/2024</v>
      </c>
      <c r="B475">
        <v>1</v>
      </c>
      <c r="C475">
        <v>115000</v>
      </c>
      <c r="D475">
        <v>109259</v>
      </c>
      <c r="E475">
        <v>109259</v>
      </c>
      <c r="F475">
        <v>109259</v>
      </c>
      <c r="G475" s="1">
        <v>4.4999999999999998E-2</v>
      </c>
      <c r="H475" s="1">
        <v>4.4999999999999998E-2</v>
      </c>
      <c r="I475" s="1">
        <v>4.4999999999999998E-2</v>
      </c>
      <c r="J475" s="1">
        <v>1</v>
      </c>
    </row>
    <row r="476" spans="1:10" x14ac:dyDescent="0.2">
      <c r="A476" t="str">
        <f>"08/10/2024"</f>
        <v>08/10/2024</v>
      </c>
      <c r="B476">
        <v>1</v>
      </c>
      <c r="C476">
        <v>115000</v>
      </c>
      <c r="D476">
        <v>373375</v>
      </c>
      <c r="E476">
        <v>115000</v>
      </c>
      <c r="F476">
        <v>115000</v>
      </c>
      <c r="G476" s="1">
        <v>4.4999999999999998E-2</v>
      </c>
      <c r="H476" s="1">
        <v>4.4999999999999998E-2</v>
      </c>
      <c r="I476" s="1">
        <v>4.4999999999999998E-2</v>
      </c>
      <c r="J476" s="1">
        <v>0.25090000000000001</v>
      </c>
    </row>
    <row r="477" spans="1:10" x14ac:dyDescent="0.2">
      <c r="A477" t="str">
        <f>"07/10/2024"</f>
        <v>07/10/2024</v>
      </c>
      <c r="B477">
        <v>1</v>
      </c>
      <c r="C477">
        <v>113000</v>
      </c>
      <c r="D477">
        <v>342039</v>
      </c>
      <c r="E477">
        <v>113000</v>
      </c>
      <c r="F477">
        <v>113000</v>
      </c>
      <c r="G477" s="1">
        <v>4.4999999999999998E-2</v>
      </c>
      <c r="H477" s="1">
        <v>4.4999999999999998E-2</v>
      </c>
      <c r="I477" s="1">
        <v>4.4999999999999998E-2</v>
      </c>
      <c r="J477" s="1">
        <v>0.24060000000000001</v>
      </c>
    </row>
    <row r="478" spans="1:10" x14ac:dyDescent="0.2">
      <c r="A478" t="str">
        <f>"06/10/2024"</f>
        <v>06/10/2024</v>
      </c>
      <c r="B478">
        <v>1</v>
      </c>
      <c r="C478">
        <v>113000</v>
      </c>
      <c r="D478">
        <v>316936</v>
      </c>
      <c r="E478">
        <v>113000</v>
      </c>
      <c r="F478">
        <v>113000</v>
      </c>
      <c r="G478" s="1">
        <v>4.4999999999999998E-2</v>
      </c>
      <c r="H478" s="1">
        <v>4.4999999999999998E-2</v>
      </c>
      <c r="I478" s="1">
        <v>4.4999999999999998E-2</v>
      </c>
      <c r="J478" s="1">
        <v>0.26300000000000001</v>
      </c>
    </row>
    <row r="479" spans="1:10" x14ac:dyDescent="0.2">
      <c r="A479" t="str">
        <f>"01/10/2024"</f>
        <v>01/10/2024</v>
      </c>
      <c r="B479">
        <v>5</v>
      </c>
      <c r="C479">
        <v>113000</v>
      </c>
      <c r="D479">
        <v>272632</v>
      </c>
      <c r="E479">
        <v>113000</v>
      </c>
      <c r="F479">
        <v>113000</v>
      </c>
      <c r="G479" s="1">
        <v>4.4999999999999998E-2</v>
      </c>
      <c r="H479" s="1">
        <v>4.4999999999999998E-2</v>
      </c>
      <c r="I479" s="1">
        <v>4.4999999999999998E-2</v>
      </c>
      <c r="J479" s="1">
        <v>0.3417</v>
      </c>
    </row>
    <row r="480" spans="1:10" x14ac:dyDescent="0.2">
      <c r="A480" t="str">
        <f>"30/09/2024"</f>
        <v>30/09/2024</v>
      </c>
      <c r="B480">
        <v>1</v>
      </c>
      <c r="C480">
        <v>98000</v>
      </c>
      <c r="D480">
        <v>266645</v>
      </c>
      <c r="E480">
        <v>98000</v>
      </c>
      <c r="F480">
        <v>98000</v>
      </c>
      <c r="G480" s="1">
        <v>4.4999999999999998E-2</v>
      </c>
      <c r="H480" s="1">
        <v>4.4999999999999998E-2</v>
      </c>
      <c r="I480" s="1">
        <v>4.4999999999999998E-2</v>
      </c>
      <c r="J480" s="1">
        <v>0.32979999999999998</v>
      </c>
    </row>
    <row r="481" spans="1:10" x14ac:dyDescent="0.2">
      <c r="A481" t="str">
        <f>"29/09/2024"</f>
        <v>29/09/2024</v>
      </c>
      <c r="B481">
        <v>1</v>
      </c>
      <c r="C481">
        <v>94000</v>
      </c>
      <c r="D481">
        <v>267118</v>
      </c>
      <c r="E481">
        <v>94000</v>
      </c>
      <c r="F481">
        <v>94000</v>
      </c>
      <c r="G481" s="1">
        <v>4.4999999999999998E-2</v>
      </c>
      <c r="H481" s="1">
        <v>4.4999999999999998E-2</v>
      </c>
      <c r="I481" s="1">
        <v>4.4999999999999998E-2</v>
      </c>
      <c r="J481" s="1">
        <v>0.30059999999999998</v>
      </c>
    </row>
    <row r="482" spans="1:10" x14ac:dyDescent="0.2">
      <c r="A482" t="str">
        <f>"26/09/2024"</f>
        <v>26/09/2024</v>
      </c>
      <c r="B482">
        <v>3</v>
      </c>
      <c r="C482">
        <v>98000</v>
      </c>
      <c r="D482">
        <v>304804</v>
      </c>
      <c r="E482">
        <v>98000</v>
      </c>
      <c r="F482">
        <v>98000</v>
      </c>
      <c r="G482" s="1">
        <v>4.4999999999999998E-2</v>
      </c>
      <c r="H482" s="1">
        <v>4.4999999999999998E-2</v>
      </c>
      <c r="I482" s="1">
        <v>4.4999999999999998E-2</v>
      </c>
      <c r="J482" s="1">
        <v>0.27160000000000001</v>
      </c>
    </row>
    <row r="483" spans="1:10" x14ac:dyDescent="0.2">
      <c r="A483" t="str">
        <f>"25/09/2024"</f>
        <v>25/09/2024</v>
      </c>
      <c r="B483">
        <v>1</v>
      </c>
      <c r="C483">
        <v>90000</v>
      </c>
      <c r="D483">
        <v>307440</v>
      </c>
      <c r="E483">
        <v>90000</v>
      </c>
      <c r="F483">
        <v>90000</v>
      </c>
      <c r="G483" s="1">
        <v>4.4999999999999998E-2</v>
      </c>
      <c r="H483" s="1">
        <v>4.4999999999999998E-2</v>
      </c>
      <c r="I483" s="1">
        <v>4.4999999999999998E-2</v>
      </c>
      <c r="J483" s="1">
        <v>0.24310000000000001</v>
      </c>
    </row>
    <row r="484" spans="1:10" x14ac:dyDescent="0.2">
      <c r="A484" t="str">
        <f>"24/09/2024"</f>
        <v>24/09/2024</v>
      </c>
      <c r="B484">
        <v>1</v>
      </c>
      <c r="C484">
        <v>89000</v>
      </c>
      <c r="D484">
        <v>299789</v>
      </c>
      <c r="E484">
        <v>89000</v>
      </c>
      <c r="F484">
        <v>89000</v>
      </c>
      <c r="G484" s="1">
        <v>4.4999999999999998E-2</v>
      </c>
      <c r="H484" s="1">
        <v>4.4999999999999998E-2</v>
      </c>
      <c r="I484" s="1">
        <v>4.4999999999999998E-2</v>
      </c>
      <c r="J484" s="1">
        <v>0.2427</v>
      </c>
    </row>
    <row r="485" spans="1:10" x14ac:dyDescent="0.2">
      <c r="A485" t="str">
        <f>"23/09/2024"</f>
        <v>23/09/2024</v>
      </c>
      <c r="B485">
        <v>1</v>
      </c>
      <c r="C485">
        <v>97000</v>
      </c>
      <c r="D485">
        <v>299842</v>
      </c>
      <c r="E485">
        <v>97000</v>
      </c>
      <c r="F485">
        <v>97000</v>
      </c>
      <c r="G485" s="1">
        <v>4.4999999999999998E-2</v>
      </c>
      <c r="H485" s="1">
        <v>4.4999999999999998E-2</v>
      </c>
      <c r="I485" s="1">
        <v>4.4999999999999998E-2</v>
      </c>
      <c r="J485" s="1">
        <v>0.27129999999999999</v>
      </c>
    </row>
    <row r="486" spans="1:10" x14ac:dyDescent="0.2">
      <c r="A486" t="str">
        <f>"22/09/2024"</f>
        <v>22/09/2024</v>
      </c>
      <c r="B486">
        <v>1</v>
      </c>
      <c r="C486">
        <v>98000</v>
      </c>
      <c r="D486">
        <v>285263</v>
      </c>
      <c r="E486">
        <v>98000</v>
      </c>
      <c r="F486">
        <v>98000</v>
      </c>
      <c r="G486" s="1">
        <v>4.4999999999999998E-2</v>
      </c>
      <c r="H486" s="1">
        <v>4.4999999999999998E-2</v>
      </c>
      <c r="I486" s="1">
        <v>4.4999999999999998E-2</v>
      </c>
      <c r="J486" s="1">
        <v>0.29670000000000002</v>
      </c>
    </row>
    <row r="487" spans="1:10" x14ac:dyDescent="0.2">
      <c r="A487" t="str">
        <f>"19/09/2024"</f>
        <v>19/09/2024</v>
      </c>
      <c r="B487">
        <v>3</v>
      </c>
      <c r="C487">
        <v>106000</v>
      </c>
      <c r="D487">
        <v>301811</v>
      </c>
      <c r="E487">
        <v>106000</v>
      </c>
      <c r="F487">
        <v>106000</v>
      </c>
      <c r="G487" s="1">
        <v>4.4999999999999998E-2</v>
      </c>
      <c r="H487" s="1">
        <v>4.4999999999999998E-2</v>
      </c>
      <c r="I487" s="1">
        <v>4.4999999999999998E-2</v>
      </c>
      <c r="J487" s="1">
        <v>0.3115</v>
      </c>
    </row>
    <row r="488" spans="1:10" x14ac:dyDescent="0.2">
      <c r="A488" t="str">
        <f>"18/09/2024"</f>
        <v>18/09/2024</v>
      </c>
      <c r="B488">
        <v>1</v>
      </c>
      <c r="C488">
        <v>109000</v>
      </c>
      <c r="D488">
        <v>312267</v>
      </c>
      <c r="E488">
        <v>109000</v>
      </c>
      <c r="F488">
        <v>109000</v>
      </c>
      <c r="G488" s="1">
        <v>4.4999999999999998E-2</v>
      </c>
      <c r="H488" s="1">
        <v>4.4999999999999998E-2</v>
      </c>
      <c r="I488" s="1">
        <v>4.4999999999999998E-2</v>
      </c>
      <c r="J488" s="1">
        <v>0.30470000000000003</v>
      </c>
    </row>
    <row r="489" spans="1:10" x14ac:dyDescent="0.2">
      <c r="A489" t="str">
        <f>"17/09/2024"</f>
        <v>17/09/2024</v>
      </c>
      <c r="B489">
        <v>1</v>
      </c>
      <c r="C489">
        <v>108000</v>
      </c>
      <c r="D489">
        <v>301735</v>
      </c>
      <c r="E489">
        <v>108000</v>
      </c>
      <c r="F489">
        <v>108000</v>
      </c>
      <c r="G489" s="1">
        <v>4.4999999999999998E-2</v>
      </c>
      <c r="H489" s="1">
        <v>4.4999999999999998E-2</v>
      </c>
      <c r="I489" s="1">
        <v>4.4999999999999998E-2</v>
      </c>
      <c r="J489" s="1">
        <v>0.31490000000000001</v>
      </c>
    </row>
    <row r="490" spans="1:10" x14ac:dyDescent="0.2">
      <c r="A490" t="str">
        <f>"16/09/2024"</f>
        <v>16/09/2024</v>
      </c>
      <c r="B490">
        <v>1</v>
      </c>
      <c r="C490">
        <v>114000</v>
      </c>
      <c r="D490">
        <v>321413</v>
      </c>
      <c r="E490">
        <v>114000</v>
      </c>
      <c r="F490">
        <v>114000</v>
      </c>
      <c r="G490" s="1">
        <v>4.4999999999999998E-2</v>
      </c>
      <c r="H490" s="1">
        <v>4.4999999999999998E-2</v>
      </c>
      <c r="I490" s="1">
        <v>4.4999999999999998E-2</v>
      </c>
      <c r="J490" s="1">
        <v>0.31330000000000002</v>
      </c>
    </row>
    <row r="491" spans="1:10" x14ac:dyDescent="0.2">
      <c r="A491" t="str">
        <f>"15/09/2024"</f>
        <v>15/09/2024</v>
      </c>
      <c r="B491">
        <v>1</v>
      </c>
      <c r="C491">
        <v>118000</v>
      </c>
      <c r="D491">
        <v>359235</v>
      </c>
      <c r="E491">
        <v>118000</v>
      </c>
      <c r="F491">
        <v>118000</v>
      </c>
      <c r="G491" s="1">
        <v>4.4999999999999998E-2</v>
      </c>
      <c r="H491" s="1">
        <v>4.4999999999999998E-2</v>
      </c>
      <c r="I491" s="1">
        <v>4.4999999999999998E-2</v>
      </c>
      <c r="J491" s="1">
        <v>0.28789999999999999</v>
      </c>
    </row>
    <row r="492" spans="1:10" x14ac:dyDescent="0.2">
      <c r="A492" t="str">
        <f>"12/09/2024"</f>
        <v>12/09/2024</v>
      </c>
      <c r="B492">
        <v>3</v>
      </c>
      <c r="C492">
        <v>122000</v>
      </c>
      <c r="D492">
        <v>375650</v>
      </c>
      <c r="E492">
        <v>122000</v>
      </c>
      <c r="F492">
        <v>122000</v>
      </c>
      <c r="G492" s="1">
        <v>4.4999999999999998E-2</v>
      </c>
      <c r="H492" s="1">
        <v>4.4999999999999998E-2</v>
      </c>
      <c r="I492" s="1">
        <v>4.4999999999999998E-2</v>
      </c>
      <c r="J492" s="1">
        <v>0.27810000000000001</v>
      </c>
    </row>
    <row r="493" spans="1:10" x14ac:dyDescent="0.2">
      <c r="A493" t="str">
        <f>"11/09/2024"</f>
        <v>11/09/2024</v>
      </c>
      <c r="B493">
        <v>1</v>
      </c>
      <c r="C493">
        <v>122000</v>
      </c>
      <c r="D493">
        <v>392474</v>
      </c>
      <c r="E493">
        <v>122000</v>
      </c>
      <c r="F493">
        <v>122000</v>
      </c>
      <c r="G493" s="1">
        <v>4.4999999999999998E-2</v>
      </c>
      <c r="H493" s="1">
        <v>4.4999999999999998E-2</v>
      </c>
      <c r="I493" s="1">
        <v>4.4999999999999998E-2</v>
      </c>
      <c r="J493" s="1">
        <v>0.2646</v>
      </c>
    </row>
    <row r="494" spans="1:10" x14ac:dyDescent="0.2">
      <c r="A494" t="str">
        <f>"10/09/2024"</f>
        <v>10/09/2024</v>
      </c>
      <c r="B494">
        <v>1</v>
      </c>
      <c r="C494">
        <v>120000</v>
      </c>
      <c r="D494">
        <v>363946</v>
      </c>
      <c r="E494">
        <v>120000</v>
      </c>
      <c r="F494">
        <v>120000</v>
      </c>
      <c r="G494" s="1">
        <v>4.4999999999999998E-2</v>
      </c>
      <c r="H494" s="1">
        <v>4.4999999999999998E-2</v>
      </c>
      <c r="I494" s="1">
        <v>4.4999999999999998E-2</v>
      </c>
      <c r="J494" s="1">
        <v>0.26879999999999998</v>
      </c>
    </row>
    <row r="495" spans="1:10" x14ac:dyDescent="0.2">
      <c r="A495" t="str">
        <f>"09/09/2024"</f>
        <v>09/09/2024</v>
      </c>
      <c r="B495">
        <v>1</v>
      </c>
      <c r="C495">
        <v>123000</v>
      </c>
      <c r="D495">
        <v>388779</v>
      </c>
      <c r="E495">
        <v>123000</v>
      </c>
      <c r="F495">
        <v>123000</v>
      </c>
      <c r="G495" s="1">
        <v>4.4999999999999998E-2</v>
      </c>
      <c r="H495" s="1">
        <v>4.4999999999999998E-2</v>
      </c>
      <c r="I495" s="1">
        <v>4.4999999999999998E-2</v>
      </c>
      <c r="J495" s="1">
        <v>0.27779999999999999</v>
      </c>
    </row>
    <row r="496" spans="1:10" x14ac:dyDescent="0.2">
      <c r="A496" t="str">
        <f>"08/09/2024"</f>
        <v>08/09/2024</v>
      </c>
      <c r="B496">
        <v>1</v>
      </c>
      <c r="C496">
        <v>122000</v>
      </c>
      <c r="D496">
        <v>372510</v>
      </c>
      <c r="E496">
        <v>122000</v>
      </c>
      <c r="F496">
        <v>122000</v>
      </c>
      <c r="G496" s="1">
        <v>4.4999999999999998E-2</v>
      </c>
      <c r="H496" s="1">
        <v>4.4999999999999998E-2</v>
      </c>
      <c r="I496" s="1">
        <v>4.4999999999999998E-2</v>
      </c>
      <c r="J496" s="1">
        <v>0.28949999999999998</v>
      </c>
    </row>
    <row r="497" spans="1:10" x14ac:dyDescent="0.2">
      <c r="A497" t="str">
        <f>"05/09/2024"</f>
        <v>05/09/2024</v>
      </c>
      <c r="B497">
        <v>3</v>
      </c>
      <c r="C497">
        <v>124000</v>
      </c>
      <c r="D497">
        <v>386114</v>
      </c>
      <c r="E497">
        <v>124000</v>
      </c>
      <c r="F497">
        <v>124000</v>
      </c>
      <c r="G497" s="1">
        <v>4.4999999999999998E-2</v>
      </c>
      <c r="H497" s="1">
        <v>4.4999999999999998E-2</v>
      </c>
      <c r="I497" s="1">
        <v>4.4999999999999998E-2</v>
      </c>
      <c r="J497" s="1">
        <v>0.28610000000000002</v>
      </c>
    </row>
    <row r="498" spans="1:10" x14ac:dyDescent="0.2">
      <c r="A498" t="str">
        <f>"04/09/2024"</f>
        <v>04/09/2024</v>
      </c>
      <c r="B498">
        <v>1</v>
      </c>
      <c r="C498">
        <v>123000</v>
      </c>
      <c r="D498">
        <v>378578</v>
      </c>
      <c r="E498">
        <v>123000</v>
      </c>
      <c r="F498">
        <v>123000</v>
      </c>
      <c r="G498" s="1">
        <v>4.4999999999999998E-2</v>
      </c>
      <c r="H498" s="1">
        <v>4.4999999999999998E-2</v>
      </c>
      <c r="I498" s="1">
        <v>4.4999999999999998E-2</v>
      </c>
      <c r="J498" s="1">
        <v>0.27529999999999999</v>
      </c>
    </row>
    <row r="499" spans="1:10" x14ac:dyDescent="0.2">
      <c r="A499" t="str">
        <f>"03/09/2024"</f>
        <v>03/09/2024</v>
      </c>
      <c r="B499">
        <v>1</v>
      </c>
      <c r="C499">
        <v>114000</v>
      </c>
      <c r="D499">
        <v>336723</v>
      </c>
      <c r="E499">
        <v>114000</v>
      </c>
      <c r="F499">
        <v>114000</v>
      </c>
      <c r="G499" s="1">
        <v>4.4999999999999998E-2</v>
      </c>
      <c r="H499" s="1">
        <v>4.4999999999999998E-2</v>
      </c>
      <c r="I499" s="1">
        <v>4.4999999999999998E-2</v>
      </c>
      <c r="J499" s="1">
        <v>0.29509999999999997</v>
      </c>
    </row>
    <row r="500" spans="1:10" x14ac:dyDescent="0.2">
      <c r="A500" t="str">
        <f>"02/09/2024"</f>
        <v>02/09/2024</v>
      </c>
      <c r="B500">
        <v>1</v>
      </c>
      <c r="C500">
        <v>116000</v>
      </c>
      <c r="D500">
        <v>303847</v>
      </c>
      <c r="E500">
        <v>116000</v>
      </c>
      <c r="F500">
        <v>116000</v>
      </c>
      <c r="G500" s="1">
        <v>4.4999999999999998E-2</v>
      </c>
      <c r="H500" s="1">
        <v>4.4999999999999998E-2</v>
      </c>
      <c r="I500" s="1">
        <v>4.4999999999999998E-2</v>
      </c>
      <c r="J500" s="1">
        <v>0.34489999999999998</v>
      </c>
    </row>
    <row r="501" spans="1:10" x14ac:dyDescent="0.2">
      <c r="A501" t="str">
        <f>"01/09/2024"</f>
        <v>01/09/2024</v>
      </c>
      <c r="B501">
        <v>1</v>
      </c>
      <c r="C501">
        <v>117000</v>
      </c>
      <c r="D501">
        <v>266442</v>
      </c>
      <c r="E501">
        <v>117000</v>
      </c>
      <c r="F501">
        <v>117000</v>
      </c>
      <c r="G501" s="1">
        <v>4.4999999999999998E-2</v>
      </c>
      <c r="H501" s="1">
        <v>4.4999999999999998E-2</v>
      </c>
      <c r="I501" s="1">
        <v>4.4999999999999998E-2</v>
      </c>
      <c r="J501" s="1">
        <v>0.39860000000000001</v>
      </c>
    </row>
    <row r="502" spans="1:10" x14ac:dyDescent="0.2">
      <c r="A502" t="str">
        <f>"29/08/2024"</f>
        <v>29/08/2024</v>
      </c>
      <c r="B502">
        <v>3</v>
      </c>
      <c r="C502">
        <v>99000</v>
      </c>
      <c r="D502">
        <v>192012</v>
      </c>
      <c r="E502">
        <v>99000</v>
      </c>
      <c r="F502">
        <v>99000</v>
      </c>
      <c r="G502" s="1">
        <v>4.4999999999999998E-2</v>
      </c>
      <c r="H502" s="1">
        <v>4.4999999999999998E-2</v>
      </c>
      <c r="I502" s="1">
        <v>4.4999999999999998E-2</v>
      </c>
      <c r="J502" s="1">
        <v>0.46800000000000003</v>
      </c>
    </row>
    <row r="503" spans="1:10" x14ac:dyDescent="0.2">
      <c r="A503" t="str">
        <f>"28/08/2024"</f>
        <v>28/08/2024</v>
      </c>
      <c r="B503">
        <v>1</v>
      </c>
      <c r="C503">
        <v>93000</v>
      </c>
      <c r="D503">
        <v>88542</v>
      </c>
      <c r="E503">
        <v>88542</v>
      </c>
      <c r="F503">
        <v>88542</v>
      </c>
      <c r="G503" s="1">
        <v>4.4999999999999998E-2</v>
      </c>
      <c r="H503" s="1">
        <v>4.4999999999999998E-2</v>
      </c>
      <c r="I503" s="1">
        <v>4.4999999999999998E-2</v>
      </c>
      <c r="J503" s="1">
        <v>1</v>
      </c>
    </row>
    <row r="504" spans="1:10" x14ac:dyDescent="0.2">
      <c r="A504" t="str">
        <f>"27/08/2024"</f>
        <v>27/08/2024</v>
      </c>
      <c r="B504">
        <v>1</v>
      </c>
      <c r="C504">
        <v>83000</v>
      </c>
      <c r="D504">
        <v>168477</v>
      </c>
      <c r="E504">
        <v>83000</v>
      </c>
      <c r="F504">
        <v>83000</v>
      </c>
      <c r="G504" s="1">
        <v>4.4999999999999998E-2</v>
      </c>
      <c r="H504" s="1">
        <v>4.4999999999999998E-2</v>
      </c>
      <c r="I504" s="1">
        <v>4.4999999999999998E-2</v>
      </c>
      <c r="J504" s="1">
        <v>0.41389999999999999</v>
      </c>
    </row>
    <row r="505" spans="1:10" x14ac:dyDescent="0.2">
      <c r="A505" t="str">
        <f>"26/08/2024"</f>
        <v>26/08/2024</v>
      </c>
      <c r="B505">
        <v>1</v>
      </c>
      <c r="C505">
        <v>87000</v>
      </c>
      <c r="D505">
        <v>186377</v>
      </c>
      <c r="E505">
        <v>87000</v>
      </c>
      <c r="F505">
        <v>87000</v>
      </c>
      <c r="G505" s="1">
        <v>4.4999999999999998E-2</v>
      </c>
      <c r="H505" s="1">
        <v>4.4999999999999998E-2</v>
      </c>
      <c r="I505" s="1">
        <v>4.4999999999999998E-2</v>
      </c>
      <c r="J505" s="1">
        <v>0.39129999999999998</v>
      </c>
    </row>
    <row r="506" spans="1:10" x14ac:dyDescent="0.2">
      <c r="A506" t="str">
        <f>"25/08/2024"</f>
        <v>25/08/2024</v>
      </c>
      <c r="B506">
        <v>1</v>
      </c>
      <c r="C506">
        <v>87000</v>
      </c>
      <c r="D506">
        <v>218447</v>
      </c>
      <c r="E506">
        <v>87000</v>
      </c>
      <c r="F506">
        <v>87000</v>
      </c>
      <c r="G506" s="1">
        <v>4.4999999999999998E-2</v>
      </c>
      <c r="H506" s="1">
        <v>4.4999999999999998E-2</v>
      </c>
      <c r="I506" s="1">
        <v>4.4999999999999998E-2</v>
      </c>
      <c r="J506" s="1">
        <v>0.34710000000000002</v>
      </c>
    </row>
    <row r="507" spans="1:10" x14ac:dyDescent="0.2">
      <c r="A507" t="str">
        <f>"22/08/2024"</f>
        <v>22/08/2024</v>
      </c>
      <c r="B507">
        <v>3</v>
      </c>
      <c r="C507">
        <v>87000</v>
      </c>
      <c r="D507">
        <v>238893</v>
      </c>
      <c r="E507">
        <v>87000</v>
      </c>
      <c r="F507">
        <v>87000</v>
      </c>
      <c r="G507" s="1">
        <v>4.4999999999999998E-2</v>
      </c>
      <c r="H507" s="1">
        <v>4.4999999999999998E-2</v>
      </c>
      <c r="I507" s="1">
        <v>4.4999999999999998E-2</v>
      </c>
      <c r="J507" s="1">
        <v>0.31419999999999998</v>
      </c>
    </row>
    <row r="508" spans="1:10" x14ac:dyDescent="0.2">
      <c r="A508" t="str">
        <f>"21/08/2024"</f>
        <v>21/08/2024</v>
      </c>
      <c r="B508">
        <v>1</v>
      </c>
      <c r="C508">
        <v>88000</v>
      </c>
      <c r="D508">
        <v>254250</v>
      </c>
      <c r="E508">
        <v>88000</v>
      </c>
      <c r="F508">
        <v>88000</v>
      </c>
      <c r="G508" s="1">
        <v>4.4999999999999998E-2</v>
      </c>
      <c r="H508" s="1">
        <v>4.4999999999999998E-2</v>
      </c>
      <c r="I508" s="1">
        <v>4.4999999999999998E-2</v>
      </c>
      <c r="J508" s="1">
        <v>0.29199999999999998</v>
      </c>
    </row>
    <row r="509" spans="1:10" x14ac:dyDescent="0.2">
      <c r="A509" t="str">
        <f>"20/08/2024"</f>
        <v>20/08/2024</v>
      </c>
      <c r="B509">
        <v>1</v>
      </c>
      <c r="C509">
        <v>88000</v>
      </c>
      <c r="D509">
        <v>260143</v>
      </c>
      <c r="E509">
        <v>88000</v>
      </c>
      <c r="F509">
        <v>88000</v>
      </c>
      <c r="G509" s="1">
        <v>4.4999999999999998E-2</v>
      </c>
      <c r="H509" s="1">
        <v>4.4999999999999998E-2</v>
      </c>
      <c r="I509" s="1">
        <v>4.4999999999999998E-2</v>
      </c>
      <c r="J509" s="1">
        <v>0.28000000000000003</v>
      </c>
    </row>
    <row r="510" spans="1:10" x14ac:dyDescent="0.2">
      <c r="A510" t="str">
        <f>"19/08/2024"</f>
        <v>19/08/2024</v>
      </c>
      <c r="B510">
        <v>1</v>
      </c>
      <c r="C510">
        <v>95000</v>
      </c>
      <c r="D510">
        <v>270831</v>
      </c>
      <c r="E510">
        <v>95000</v>
      </c>
      <c r="F510">
        <v>95000</v>
      </c>
      <c r="G510" s="1">
        <v>4.4999999999999998E-2</v>
      </c>
      <c r="H510" s="1">
        <v>4.4999999999999998E-2</v>
      </c>
      <c r="I510" s="1">
        <v>4.4999999999999998E-2</v>
      </c>
      <c r="J510" s="1">
        <v>0.30080000000000001</v>
      </c>
    </row>
    <row r="511" spans="1:10" x14ac:dyDescent="0.2">
      <c r="A511" t="str">
        <f>"18/08/2024"</f>
        <v>18/08/2024</v>
      </c>
      <c r="B511">
        <v>1</v>
      </c>
      <c r="C511">
        <v>95000</v>
      </c>
      <c r="D511">
        <v>266459</v>
      </c>
      <c r="E511">
        <v>95000</v>
      </c>
      <c r="F511">
        <v>95000</v>
      </c>
      <c r="G511" s="1">
        <v>4.4999999999999998E-2</v>
      </c>
      <c r="H511" s="1">
        <v>4.4999999999999998E-2</v>
      </c>
      <c r="I511" s="1">
        <v>4.4999999999999998E-2</v>
      </c>
      <c r="J511" s="1">
        <v>0.30659999999999998</v>
      </c>
    </row>
    <row r="512" spans="1:10" x14ac:dyDescent="0.2">
      <c r="A512" t="str">
        <f>"15/08/2024"</f>
        <v>15/08/2024</v>
      </c>
      <c r="B512">
        <v>3</v>
      </c>
      <c r="C512">
        <v>104000</v>
      </c>
      <c r="D512">
        <v>274168</v>
      </c>
      <c r="E512">
        <v>104000</v>
      </c>
      <c r="F512">
        <v>104000</v>
      </c>
      <c r="G512" s="1">
        <v>4.4999999999999998E-2</v>
      </c>
      <c r="H512" s="1">
        <v>4.4999999999999998E-2</v>
      </c>
      <c r="I512" s="1">
        <v>4.4999999999999998E-2</v>
      </c>
      <c r="J512" s="1">
        <v>0.34100000000000003</v>
      </c>
    </row>
    <row r="513" spans="1:10" x14ac:dyDescent="0.2">
      <c r="A513" t="str">
        <f>"14/08/2024"</f>
        <v>14/08/2024</v>
      </c>
      <c r="B513">
        <v>1</v>
      </c>
      <c r="C513">
        <v>111000</v>
      </c>
      <c r="D513">
        <v>311411</v>
      </c>
      <c r="E513">
        <v>111000</v>
      </c>
      <c r="F513">
        <v>111000</v>
      </c>
      <c r="G513" s="1">
        <v>4.4999999999999998E-2</v>
      </c>
      <c r="H513" s="1">
        <v>4.4999999999999998E-2</v>
      </c>
      <c r="I513" s="1">
        <v>4.4999999999999998E-2</v>
      </c>
      <c r="J513" s="1">
        <v>0.31190000000000001</v>
      </c>
    </row>
    <row r="514" spans="1:10" x14ac:dyDescent="0.2">
      <c r="A514" t="str">
        <f>"12/08/2024"</f>
        <v>12/08/2024</v>
      </c>
      <c r="B514">
        <v>2</v>
      </c>
      <c r="C514">
        <v>115000</v>
      </c>
      <c r="D514">
        <v>312356</v>
      </c>
      <c r="E514">
        <v>115000</v>
      </c>
      <c r="F514">
        <v>115000</v>
      </c>
      <c r="G514" s="1">
        <v>4.4999999999999998E-2</v>
      </c>
      <c r="H514" s="1">
        <v>4.4999999999999998E-2</v>
      </c>
      <c r="I514" s="1">
        <v>4.4999999999999998E-2</v>
      </c>
      <c r="J514" s="1">
        <v>0.31180000000000002</v>
      </c>
    </row>
    <row r="515" spans="1:10" x14ac:dyDescent="0.2">
      <c r="A515" t="str">
        <f>"11/08/2024"</f>
        <v>11/08/2024</v>
      </c>
      <c r="B515">
        <v>1</v>
      </c>
      <c r="C515">
        <v>113000</v>
      </c>
      <c r="D515">
        <v>325588</v>
      </c>
      <c r="E515">
        <v>113000</v>
      </c>
      <c r="F515">
        <v>113000</v>
      </c>
      <c r="G515" s="1">
        <v>4.4999999999999998E-2</v>
      </c>
      <c r="H515" s="1">
        <v>4.4999999999999998E-2</v>
      </c>
      <c r="I515" s="1">
        <v>4.4999999999999998E-2</v>
      </c>
      <c r="J515" s="1">
        <v>0.2903</v>
      </c>
    </row>
    <row r="516" spans="1:10" x14ac:dyDescent="0.2">
      <c r="A516" t="str">
        <f>"08/08/2024"</f>
        <v>08/08/2024</v>
      </c>
      <c r="B516">
        <v>3</v>
      </c>
      <c r="C516">
        <v>115000</v>
      </c>
      <c r="D516">
        <v>366284</v>
      </c>
      <c r="E516">
        <v>115000</v>
      </c>
      <c r="F516">
        <v>115000</v>
      </c>
      <c r="G516" s="1">
        <v>4.4999999999999998E-2</v>
      </c>
      <c r="H516" s="1">
        <v>4.4999999999999998E-2</v>
      </c>
      <c r="I516" s="1">
        <v>4.4999999999999998E-2</v>
      </c>
      <c r="J516" s="1">
        <v>0.27360000000000001</v>
      </c>
    </row>
    <row r="517" spans="1:10" x14ac:dyDescent="0.2">
      <c r="A517" t="str">
        <f>"07/08/2024"</f>
        <v>07/08/2024</v>
      </c>
      <c r="B517">
        <v>1</v>
      </c>
      <c r="C517">
        <v>119000</v>
      </c>
      <c r="D517">
        <v>385672</v>
      </c>
      <c r="E517">
        <v>119000</v>
      </c>
      <c r="F517">
        <v>119000</v>
      </c>
      <c r="G517" s="1">
        <v>4.4999999999999998E-2</v>
      </c>
      <c r="H517" s="1">
        <v>4.4999999999999998E-2</v>
      </c>
      <c r="I517" s="1">
        <v>4.4999999999999998E-2</v>
      </c>
      <c r="J517" s="1">
        <v>0.25650000000000001</v>
      </c>
    </row>
    <row r="518" spans="1:10" x14ac:dyDescent="0.2">
      <c r="A518" t="str">
        <f>"06/08/2024"</f>
        <v>06/08/2024</v>
      </c>
      <c r="B518">
        <v>1</v>
      </c>
      <c r="C518">
        <v>111000</v>
      </c>
      <c r="D518">
        <v>346545</v>
      </c>
      <c r="E518">
        <v>111000</v>
      </c>
      <c r="F518">
        <v>111000</v>
      </c>
      <c r="G518" s="1">
        <v>4.4999999999999998E-2</v>
      </c>
      <c r="H518" s="1">
        <v>4.4999999999999998E-2</v>
      </c>
      <c r="I518" s="1">
        <v>4.4999999999999998E-2</v>
      </c>
      <c r="J518" s="1">
        <v>0.26889999999999997</v>
      </c>
    </row>
    <row r="519" spans="1:10" x14ac:dyDescent="0.2">
      <c r="A519" t="str">
        <f>"05/08/2024"</f>
        <v>05/08/2024</v>
      </c>
      <c r="B519">
        <v>1</v>
      </c>
      <c r="C519">
        <v>113000</v>
      </c>
      <c r="D519">
        <v>329537</v>
      </c>
      <c r="E519">
        <v>113000</v>
      </c>
      <c r="F519">
        <v>113000</v>
      </c>
      <c r="G519" s="1">
        <v>4.4999999999999998E-2</v>
      </c>
      <c r="H519" s="1">
        <v>4.4999999999999998E-2</v>
      </c>
      <c r="I519" s="1">
        <v>4.4999999999999998E-2</v>
      </c>
      <c r="J519" s="1">
        <v>0.2888</v>
      </c>
    </row>
    <row r="520" spans="1:10" x14ac:dyDescent="0.2">
      <c r="A520" t="str">
        <f>"04/08/2024"</f>
        <v>04/08/2024</v>
      </c>
      <c r="B520">
        <v>1</v>
      </c>
      <c r="C520">
        <v>113000</v>
      </c>
      <c r="D520">
        <v>330480</v>
      </c>
      <c r="E520">
        <v>113000</v>
      </c>
      <c r="F520">
        <v>113000</v>
      </c>
      <c r="G520" s="1">
        <v>4.4999999999999998E-2</v>
      </c>
      <c r="H520" s="1">
        <v>4.4999999999999998E-2</v>
      </c>
      <c r="I520" s="1">
        <v>4.4999999999999998E-2</v>
      </c>
      <c r="J520" s="1">
        <v>0.29620000000000002</v>
      </c>
    </row>
    <row r="521" spans="1:10" x14ac:dyDescent="0.2">
      <c r="A521" t="str">
        <f>"01/08/2024"</f>
        <v>01/08/2024</v>
      </c>
      <c r="B521">
        <v>3</v>
      </c>
      <c r="C521">
        <v>116000</v>
      </c>
      <c r="D521">
        <v>336350</v>
      </c>
      <c r="E521">
        <v>116000</v>
      </c>
      <c r="F521">
        <v>116000</v>
      </c>
      <c r="G521" s="1">
        <v>4.4999999999999998E-2</v>
      </c>
      <c r="H521" s="1">
        <v>4.4999999999999998E-2</v>
      </c>
      <c r="I521" s="1">
        <v>4.4999999999999998E-2</v>
      </c>
      <c r="J521" s="1">
        <v>0.29449999999999998</v>
      </c>
    </row>
    <row r="522" spans="1:10" x14ac:dyDescent="0.2">
      <c r="A522" t="str">
        <f>"31/07/2024"</f>
        <v>31/07/2024</v>
      </c>
      <c r="B522">
        <v>1</v>
      </c>
      <c r="C522">
        <v>105000</v>
      </c>
      <c r="D522">
        <v>304811</v>
      </c>
      <c r="E522">
        <v>105000</v>
      </c>
      <c r="F522">
        <v>105000</v>
      </c>
      <c r="G522" s="1">
        <v>4.4999999999999998E-2</v>
      </c>
      <c r="H522" s="1">
        <v>4.4999999999999998E-2</v>
      </c>
      <c r="I522" s="1">
        <v>4.4999999999999998E-2</v>
      </c>
      <c r="J522" s="1">
        <v>0.27650000000000002</v>
      </c>
    </row>
    <row r="523" spans="1:10" x14ac:dyDescent="0.2">
      <c r="A523" t="str">
        <f>"30/07/2024"</f>
        <v>30/07/2024</v>
      </c>
      <c r="B523">
        <v>1</v>
      </c>
      <c r="C523">
        <v>99000</v>
      </c>
      <c r="D523">
        <v>279841</v>
      </c>
      <c r="E523">
        <v>99000</v>
      </c>
      <c r="F523">
        <v>99000</v>
      </c>
      <c r="G523" s="1">
        <v>4.4999999999999998E-2</v>
      </c>
      <c r="H523" s="1">
        <v>4.4999999999999998E-2</v>
      </c>
      <c r="I523" s="1">
        <v>4.4999999999999998E-2</v>
      </c>
      <c r="J523" s="1">
        <v>0.28220000000000001</v>
      </c>
    </row>
    <row r="524" spans="1:10" x14ac:dyDescent="0.2">
      <c r="A524" t="str">
        <f>"29/07/2024"</f>
        <v>29/07/2024</v>
      </c>
      <c r="B524">
        <v>1</v>
      </c>
      <c r="C524">
        <v>101000</v>
      </c>
      <c r="D524">
        <v>282579</v>
      </c>
      <c r="E524">
        <v>101000</v>
      </c>
      <c r="F524">
        <v>101000</v>
      </c>
      <c r="G524" s="1">
        <v>4.4999999999999998E-2</v>
      </c>
      <c r="H524" s="1">
        <v>4.4999999999999998E-2</v>
      </c>
      <c r="I524" s="1">
        <v>4.4999999999999998E-2</v>
      </c>
      <c r="J524" s="1">
        <v>0.2944</v>
      </c>
    </row>
    <row r="525" spans="1:10" x14ac:dyDescent="0.2">
      <c r="A525" t="str">
        <f>"28/07/2024"</f>
        <v>28/07/2024</v>
      </c>
      <c r="B525">
        <v>1</v>
      </c>
      <c r="C525">
        <v>101000</v>
      </c>
      <c r="D525">
        <v>267480</v>
      </c>
      <c r="E525">
        <v>101000</v>
      </c>
      <c r="F525">
        <v>101000</v>
      </c>
      <c r="G525" s="1">
        <v>4.4999999999999998E-2</v>
      </c>
      <c r="H525" s="1">
        <v>4.4999999999999998E-2</v>
      </c>
      <c r="I525" s="1">
        <v>4.4999999999999998E-2</v>
      </c>
      <c r="J525" s="1">
        <v>0.31929999999999997</v>
      </c>
    </row>
    <row r="526" spans="1:10" x14ac:dyDescent="0.2">
      <c r="A526" t="str">
        <f>"25/07/2024"</f>
        <v>25/07/2024</v>
      </c>
      <c r="B526">
        <v>3</v>
      </c>
      <c r="C526">
        <v>92000</v>
      </c>
      <c r="D526">
        <v>233146</v>
      </c>
      <c r="E526">
        <v>92000</v>
      </c>
      <c r="F526">
        <v>92000</v>
      </c>
      <c r="G526" s="1">
        <v>4.4999999999999998E-2</v>
      </c>
      <c r="H526" s="1">
        <v>4.4999999999999998E-2</v>
      </c>
      <c r="I526" s="1">
        <v>4.4999999999999998E-2</v>
      </c>
      <c r="J526" s="1">
        <v>0.34570000000000001</v>
      </c>
    </row>
    <row r="527" spans="1:10" x14ac:dyDescent="0.2">
      <c r="A527" t="str">
        <f>"24/07/2024"</f>
        <v>24/07/2024</v>
      </c>
      <c r="B527">
        <v>1</v>
      </c>
      <c r="C527">
        <v>103000</v>
      </c>
      <c r="D527">
        <v>258982</v>
      </c>
      <c r="E527">
        <v>103000</v>
      </c>
      <c r="F527">
        <v>103000</v>
      </c>
      <c r="G527" s="1">
        <v>4.4999999999999998E-2</v>
      </c>
      <c r="H527" s="1">
        <v>4.4999999999999998E-2</v>
      </c>
      <c r="I527" s="1">
        <v>4.4999999999999998E-2</v>
      </c>
      <c r="J527" s="1">
        <v>0.34179999999999999</v>
      </c>
    </row>
    <row r="528" spans="1:10" x14ac:dyDescent="0.2">
      <c r="A528" t="str">
        <f>"23/07/2024"</f>
        <v>23/07/2024</v>
      </c>
      <c r="B528">
        <v>1</v>
      </c>
      <c r="C528">
        <v>106000</v>
      </c>
      <c r="D528">
        <v>267496</v>
      </c>
      <c r="E528">
        <v>106000</v>
      </c>
      <c r="F528">
        <v>106000</v>
      </c>
      <c r="G528" s="1">
        <v>4.4999999999999998E-2</v>
      </c>
      <c r="H528" s="1">
        <v>4.4999999999999998E-2</v>
      </c>
      <c r="I528" s="1">
        <v>4.4999999999999998E-2</v>
      </c>
      <c r="J528" s="1">
        <v>0.34570000000000001</v>
      </c>
    </row>
    <row r="529" spans="1:10" x14ac:dyDescent="0.2">
      <c r="A529" t="str">
        <f>"22/07/2024"</f>
        <v>22/07/2024</v>
      </c>
      <c r="B529">
        <v>1</v>
      </c>
      <c r="C529">
        <v>110000</v>
      </c>
      <c r="D529">
        <v>282559</v>
      </c>
      <c r="E529">
        <v>110000</v>
      </c>
      <c r="F529">
        <v>110000</v>
      </c>
      <c r="G529" s="1">
        <v>4.4999999999999998E-2</v>
      </c>
      <c r="H529" s="1">
        <v>4.4999999999999998E-2</v>
      </c>
      <c r="I529" s="1">
        <v>4.4999999999999998E-2</v>
      </c>
      <c r="J529" s="1">
        <v>0.33750000000000002</v>
      </c>
    </row>
    <row r="530" spans="1:10" x14ac:dyDescent="0.2">
      <c r="A530" t="str">
        <f>"21/07/2024"</f>
        <v>21/07/2024</v>
      </c>
      <c r="B530">
        <v>1</v>
      </c>
      <c r="C530">
        <v>114000</v>
      </c>
      <c r="D530">
        <v>304005</v>
      </c>
      <c r="E530">
        <v>114000</v>
      </c>
      <c r="F530">
        <v>114000</v>
      </c>
      <c r="G530" s="1">
        <v>4.4999999999999998E-2</v>
      </c>
      <c r="H530" s="1">
        <v>4.4999999999999998E-2</v>
      </c>
      <c r="I530" s="1">
        <v>4.4999999999999998E-2</v>
      </c>
      <c r="J530" s="1">
        <v>0.3296</v>
      </c>
    </row>
    <row r="531" spans="1:10" x14ac:dyDescent="0.2">
      <c r="A531" t="str">
        <f>"18/07/2024"</f>
        <v>18/07/2024</v>
      </c>
      <c r="B531">
        <v>3</v>
      </c>
      <c r="C531">
        <v>116000</v>
      </c>
      <c r="D531">
        <v>325291</v>
      </c>
      <c r="E531">
        <v>116000</v>
      </c>
      <c r="F531">
        <v>116000</v>
      </c>
      <c r="G531" s="1">
        <v>4.4999999999999998E-2</v>
      </c>
      <c r="H531" s="1">
        <v>4.4999999999999998E-2</v>
      </c>
      <c r="I531" s="1">
        <v>4.4999999999999998E-2</v>
      </c>
      <c r="J531" s="1">
        <v>0.31759999999999999</v>
      </c>
    </row>
    <row r="532" spans="1:10" x14ac:dyDescent="0.2">
      <c r="A532" t="str">
        <f>"17/07/2024"</f>
        <v>17/07/2024</v>
      </c>
      <c r="B532">
        <v>1</v>
      </c>
      <c r="C532">
        <v>126000</v>
      </c>
      <c r="D532">
        <v>360325</v>
      </c>
      <c r="E532">
        <v>126000</v>
      </c>
      <c r="F532">
        <v>126000</v>
      </c>
      <c r="G532" s="1">
        <v>4.4999999999999998E-2</v>
      </c>
      <c r="H532" s="1">
        <v>4.4999999999999998E-2</v>
      </c>
      <c r="I532" s="1">
        <v>4.4999999999999998E-2</v>
      </c>
      <c r="J532" s="1">
        <v>0.30669999999999997</v>
      </c>
    </row>
    <row r="533" spans="1:10" x14ac:dyDescent="0.2">
      <c r="A533" t="str">
        <f>"16/07/2024"</f>
        <v>16/07/2024</v>
      </c>
      <c r="B533">
        <v>1</v>
      </c>
      <c r="C533">
        <v>128000</v>
      </c>
      <c r="D533">
        <v>350783</v>
      </c>
      <c r="E533">
        <v>128000</v>
      </c>
      <c r="F533">
        <v>128000</v>
      </c>
      <c r="G533" s="1">
        <v>4.4999999999999998E-2</v>
      </c>
      <c r="H533" s="1">
        <v>4.4999999999999998E-2</v>
      </c>
      <c r="I533" s="1">
        <v>4.4999999999999998E-2</v>
      </c>
      <c r="J533" s="1">
        <v>0.32240000000000002</v>
      </c>
    </row>
    <row r="534" spans="1:10" x14ac:dyDescent="0.2">
      <c r="A534" t="str">
        <f>"15/07/2024"</f>
        <v>15/07/2024</v>
      </c>
      <c r="B534">
        <v>1</v>
      </c>
      <c r="C534">
        <v>137000</v>
      </c>
      <c r="D534">
        <v>346885</v>
      </c>
      <c r="E534">
        <v>137000</v>
      </c>
      <c r="F534">
        <v>137000</v>
      </c>
      <c r="G534" s="1">
        <v>4.4999999999999998E-2</v>
      </c>
      <c r="H534" s="1">
        <v>4.4999999999999998E-2</v>
      </c>
      <c r="I534" s="1">
        <v>4.4999999999999998E-2</v>
      </c>
      <c r="J534" s="1">
        <v>0.3473</v>
      </c>
    </row>
    <row r="535" spans="1:10" x14ac:dyDescent="0.2">
      <c r="A535" t="str">
        <f>"14/07/2024"</f>
        <v>14/07/2024</v>
      </c>
      <c r="B535">
        <v>1</v>
      </c>
      <c r="C535">
        <v>139000</v>
      </c>
      <c r="D535">
        <v>320895</v>
      </c>
      <c r="E535">
        <v>139000</v>
      </c>
      <c r="F535">
        <v>139000</v>
      </c>
      <c r="G535" s="1">
        <v>4.4999999999999998E-2</v>
      </c>
      <c r="H535" s="1">
        <v>4.4999999999999998E-2</v>
      </c>
      <c r="I535" s="1">
        <v>4.4999999999999998E-2</v>
      </c>
      <c r="J535" s="1">
        <v>0.38800000000000001</v>
      </c>
    </row>
    <row r="536" spans="1:10" x14ac:dyDescent="0.2">
      <c r="A536" t="str">
        <f>"11/07/2024"</f>
        <v>11/07/2024</v>
      </c>
      <c r="B536">
        <v>3</v>
      </c>
      <c r="C536">
        <v>136000</v>
      </c>
      <c r="D536">
        <v>289607</v>
      </c>
      <c r="E536">
        <v>136000</v>
      </c>
      <c r="F536">
        <v>136000</v>
      </c>
      <c r="G536" s="1">
        <v>4.4999999999999998E-2</v>
      </c>
      <c r="H536" s="1">
        <v>4.4999999999999998E-2</v>
      </c>
      <c r="I536" s="1">
        <v>4.4999999999999998E-2</v>
      </c>
      <c r="J536" s="1">
        <v>0.43909999999999999</v>
      </c>
    </row>
    <row r="537" spans="1:10" x14ac:dyDescent="0.2">
      <c r="A537" t="str">
        <f>"10/07/2024"</f>
        <v>10/07/2024</v>
      </c>
      <c r="B537">
        <v>1</v>
      </c>
      <c r="C537">
        <v>134000</v>
      </c>
      <c r="D537">
        <v>128154</v>
      </c>
      <c r="E537">
        <v>128154</v>
      </c>
      <c r="F537">
        <v>128154</v>
      </c>
      <c r="G537" s="1">
        <v>4.4999999999999998E-2</v>
      </c>
      <c r="H537" s="1">
        <v>4.4999999999999998E-2</v>
      </c>
      <c r="I537" s="1">
        <v>4.4999999999999998E-2</v>
      </c>
      <c r="J537" s="1">
        <v>1</v>
      </c>
    </row>
    <row r="538" spans="1:10" x14ac:dyDescent="0.2">
      <c r="A538" t="str">
        <f>"09/07/2024"</f>
        <v>09/07/2024</v>
      </c>
      <c r="B538">
        <v>1</v>
      </c>
      <c r="C538">
        <v>134000</v>
      </c>
      <c r="D538">
        <v>358110</v>
      </c>
      <c r="E538">
        <v>134000</v>
      </c>
      <c r="F538">
        <v>134000</v>
      </c>
      <c r="G538" s="1">
        <v>4.4999999999999998E-2</v>
      </c>
      <c r="H538" s="1">
        <v>4.4999999999999998E-2</v>
      </c>
      <c r="I538" s="1">
        <v>4.4999999999999998E-2</v>
      </c>
      <c r="J538" s="1">
        <v>0.3236</v>
      </c>
    </row>
    <row r="539" spans="1:10" x14ac:dyDescent="0.2">
      <c r="A539" t="str">
        <f>"08/07/2024"</f>
        <v>08/07/2024</v>
      </c>
      <c r="B539">
        <v>1</v>
      </c>
      <c r="C539">
        <v>135000</v>
      </c>
      <c r="D539">
        <v>409642</v>
      </c>
      <c r="E539">
        <v>135000</v>
      </c>
      <c r="F539">
        <v>135000</v>
      </c>
      <c r="G539" s="1">
        <v>4.4999999999999998E-2</v>
      </c>
      <c r="H539" s="1">
        <v>4.4999999999999998E-2</v>
      </c>
      <c r="I539" s="1">
        <v>4.4999999999999998E-2</v>
      </c>
      <c r="J539" s="1">
        <v>0.29409999999999997</v>
      </c>
    </row>
    <row r="540" spans="1:10" x14ac:dyDescent="0.2">
      <c r="A540" t="str">
        <f>"07/07/2024"</f>
        <v>07/07/2024</v>
      </c>
      <c r="B540">
        <v>1</v>
      </c>
      <c r="C540">
        <v>133000</v>
      </c>
      <c r="D540">
        <v>410726</v>
      </c>
      <c r="E540">
        <v>133000</v>
      </c>
      <c r="F540">
        <v>133000</v>
      </c>
      <c r="G540" s="1">
        <v>4.4999999999999998E-2</v>
      </c>
      <c r="H540" s="1">
        <v>4.4999999999999998E-2</v>
      </c>
      <c r="I540" s="1">
        <v>4.4999999999999998E-2</v>
      </c>
      <c r="J540" s="1">
        <v>0.2843</v>
      </c>
    </row>
    <row r="541" spans="1:10" x14ac:dyDescent="0.2">
      <c r="A541" t="str">
        <f>"04/07/2024"</f>
        <v>04/07/2024</v>
      </c>
      <c r="B541">
        <v>3</v>
      </c>
      <c r="C541">
        <v>133000</v>
      </c>
      <c r="D541">
        <v>415137</v>
      </c>
      <c r="E541">
        <v>133000</v>
      </c>
      <c r="F541">
        <v>133000</v>
      </c>
      <c r="G541" s="1">
        <v>4.4999999999999998E-2</v>
      </c>
      <c r="H541" s="1">
        <v>4.4999999999999998E-2</v>
      </c>
      <c r="I541" s="1">
        <v>4.4999999999999998E-2</v>
      </c>
      <c r="J541" s="1">
        <v>0.2843</v>
      </c>
    </row>
    <row r="542" spans="1:10" x14ac:dyDescent="0.2">
      <c r="A542" t="str">
        <f>"03/07/2024"</f>
        <v>03/07/2024</v>
      </c>
      <c r="B542">
        <v>1</v>
      </c>
      <c r="C542">
        <v>132000</v>
      </c>
      <c r="D542">
        <v>396849</v>
      </c>
      <c r="E542">
        <v>132000</v>
      </c>
      <c r="F542">
        <v>132000</v>
      </c>
      <c r="G542" s="1">
        <v>4.4999999999999998E-2</v>
      </c>
      <c r="H542" s="1">
        <v>4.4999999999999998E-2</v>
      </c>
      <c r="I542" s="1">
        <v>4.4999999999999998E-2</v>
      </c>
      <c r="J542" s="1">
        <v>0.27629999999999999</v>
      </c>
    </row>
    <row r="543" spans="1:10" x14ac:dyDescent="0.2">
      <c r="A543" t="str">
        <f>"02/07/2024"</f>
        <v>02/07/2024</v>
      </c>
      <c r="B543">
        <v>1</v>
      </c>
      <c r="C543">
        <v>125000</v>
      </c>
      <c r="D543">
        <v>350926</v>
      </c>
      <c r="E543">
        <v>125000</v>
      </c>
      <c r="F543">
        <v>125000</v>
      </c>
      <c r="G543" s="1">
        <v>4.4999999999999998E-2</v>
      </c>
      <c r="H543" s="1">
        <v>4.4999999999999998E-2</v>
      </c>
      <c r="I543" s="1">
        <v>4.4999999999999998E-2</v>
      </c>
      <c r="J543" s="1">
        <v>0.30220000000000002</v>
      </c>
    </row>
    <row r="544" spans="1:10" x14ac:dyDescent="0.2">
      <c r="A544" t="str">
        <f>"01/07/2024"</f>
        <v>01/07/2024</v>
      </c>
      <c r="B544">
        <v>1</v>
      </c>
      <c r="C544">
        <v>130000</v>
      </c>
      <c r="D544">
        <v>330006</v>
      </c>
      <c r="E544">
        <v>130000</v>
      </c>
      <c r="F544">
        <v>130000</v>
      </c>
      <c r="G544" s="1">
        <v>4.4999999999999998E-2</v>
      </c>
      <c r="H544" s="1">
        <v>4.4999999999999998E-2</v>
      </c>
      <c r="I544" s="1">
        <v>4.4999999999999998E-2</v>
      </c>
      <c r="J544" s="1">
        <v>0.33889999999999998</v>
      </c>
    </row>
    <row r="545" spans="1:10" x14ac:dyDescent="0.2">
      <c r="A545" t="str">
        <f>"30/06/2024"</f>
        <v>30/06/2024</v>
      </c>
      <c r="B545">
        <v>1</v>
      </c>
      <c r="C545">
        <v>111000</v>
      </c>
      <c r="D545">
        <v>269303</v>
      </c>
      <c r="E545">
        <v>111000</v>
      </c>
      <c r="F545">
        <v>111000</v>
      </c>
      <c r="G545" s="1">
        <v>4.4999999999999998E-2</v>
      </c>
      <c r="H545" s="1">
        <v>4.4999999999999998E-2</v>
      </c>
      <c r="I545" s="1">
        <v>4.4999999999999998E-2</v>
      </c>
      <c r="J545" s="1">
        <v>0.36919999999999997</v>
      </c>
    </row>
    <row r="546" spans="1:10" x14ac:dyDescent="0.2">
      <c r="A546" t="str">
        <f>"27/06/2024"</f>
        <v>27/06/2024</v>
      </c>
      <c r="B546">
        <v>3</v>
      </c>
      <c r="C546">
        <v>110000</v>
      </c>
      <c r="D546">
        <v>248642</v>
      </c>
      <c r="E546">
        <v>110000</v>
      </c>
      <c r="F546">
        <v>110000</v>
      </c>
      <c r="G546" s="1">
        <v>4.4999999999999998E-2</v>
      </c>
      <c r="H546" s="1">
        <v>4.4999999999999998E-2</v>
      </c>
      <c r="I546" s="1">
        <v>4.4999999999999998E-2</v>
      </c>
      <c r="J546" s="1">
        <v>0.40799999999999997</v>
      </c>
    </row>
    <row r="547" spans="1:10" x14ac:dyDescent="0.2">
      <c r="A547" t="str">
        <f>"26/06/2024"</f>
        <v>26/06/2024</v>
      </c>
      <c r="B547">
        <v>1</v>
      </c>
      <c r="C547">
        <v>111000</v>
      </c>
      <c r="D547">
        <v>275371</v>
      </c>
      <c r="E547">
        <v>111000</v>
      </c>
      <c r="F547">
        <v>111000</v>
      </c>
      <c r="G547" s="1">
        <v>4.4999999999999998E-2</v>
      </c>
      <c r="H547" s="1">
        <v>4.4999999999999998E-2</v>
      </c>
      <c r="I547" s="1">
        <v>4.4999999999999998E-2</v>
      </c>
      <c r="J547" s="1">
        <v>0.35759999999999997</v>
      </c>
    </row>
    <row r="548" spans="1:10" x14ac:dyDescent="0.2">
      <c r="A548" t="str">
        <f>"25/06/2024"</f>
        <v>25/06/2024</v>
      </c>
      <c r="B548">
        <v>1</v>
      </c>
      <c r="C548">
        <v>113000</v>
      </c>
      <c r="D548">
        <v>275248</v>
      </c>
      <c r="E548">
        <v>113000</v>
      </c>
      <c r="F548">
        <v>113000</v>
      </c>
      <c r="G548" s="1">
        <v>4.4999999999999998E-2</v>
      </c>
      <c r="H548" s="1">
        <v>4.4999999999999998E-2</v>
      </c>
      <c r="I548" s="1">
        <v>4.4999999999999998E-2</v>
      </c>
      <c r="J548" s="1">
        <v>0.36430000000000001</v>
      </c>
    </row>
    <row r="549" spans="1:10" x14ac:dyDescent="0.2">
      <c r="A549" t="str">
        <f>"24/06/2024"</f>
        <v>24/06/2024</v>
      </c>
      <c r="B549">
        <v>1</v>
      </c>
      <c r="C549">
        <v>117000</v>
      </c>
      <c r="D549">
        <v>284913</v>
      </c>
      <c r="E549">
        <v>117000</v>
      </c>
      <c r="F549">
        <v>117000</v>
      </c>
      <c r="G549" s="1">
        <v>4.4999999999999998E-2</v>
      </c>
      <c r="H549" s="1">
        <v>4.4999999999999998E-2</v>
      </c>
      <c r="I549" s="1">
        <v>4.4999999999999998E-2</v>
      </c>
      <c r="J549" s="1">
        <v>0.3654</v>
      </c>
    </row>
    <row r="550" spans="1:10" x14ac:dyDescent="0.2">
      <c r="A550" t="str">
        <f>"23/06/2024"</f>
        <v>23/06/2024</v>
      </c>
      <c r="B550">
        <v>1</v>
      </c>
      <c r="C550">
        <v>120000</v>
      </c>
      <c r="D550">
        <v>294888</v>
      </c>
      <c r="E550">
        <v>120000</v>
      </c>
      <c r="F550">
        <v>120000</v>
      </c>
      <c r="G550" s="1">
        <v>4.4999999999999998E-2</v>
      </c>
      <c r="H550" s="1">
        <v>4.4999999999999998E-2</v>
      </c>
      <c r="I550" s="1">
        <v>4.4999999999999998E-2</v>
      </c>
      <c r="J550" s="1">
        <v>0.37009999999999998</v>
      </c>
    </row>
    <row r="551" spans="1:10" x14ac:dyDescent="0.2">
      <c r="A551" t="str">
        <f>"20/06/2024"</f>
        <v>20/06/2024</v>
      </c>
      <c r="B551">
        <v>3</v>
      </c>
      <c r="C551">
        <v>120000</v>
      </c>
      <c r="D551">
        <v>290607</v>
      </c>
      <c r="E551">
        <v>120000</v>
      </c>
      <c r="F551">
        <v>120000</v>
      </c>
      <c r="G551" s="1">
        <v>4.4999999999999998E-2</v>
      </c>
      <c r="H551" s="1">
        <v>4.4999999999999998E-2</v>
      </c>
      <c r="I551" s="1">
        <v>4.4999999999999998E-2</v>
      </c>
      <c r="J551" s="1">
        <v>0.3795</v>
      </c>
    </row>
    <row r="552" spans="1:10" x14ac:dyDescent="0.2">
      <c r="A552" t="str">
        <f>"19/06/2024"</f>
        <v>19/06/2024</v>
      </c>
      <c r="B552">
        <v>1</v>
      </c>
      <c r="C552">
        <v>123000</v>
      </c>
      <c r="D552">
        <v>310138</v>
      </c>
      <c r="E552">
        <v>123000</v>
      </c>
      <c r="F552">
        <v>123000</v>
      </c>
      <c r="G552" s="1">
        <v>4.4999999999999998E-2</v>
      </c>
      <c r="H552" s="1">
        <v>4.4999999999999998E-2</v>
      </c>
      <c r="I552" s="1">
        <v>4.4999999999999998E-2</v>
      </c>
      <c r="J552" s="1">
        <v>0.35460000000000003</v>
      </c>
    </row>
    <row r="553" spans="1:10" x14ac:dyDescent="0.2">
      <c r="A553" t="str">
        <f>"18/06/2024"</f>
        <v>18/06/2024</v>
      </c>
      <c r="B553">
        <v>1</v>
      </c>
      <c r="C553">
        <v>124000</v>
      </c>
      <c r="D553">
        <v>304580</v>
      </c>
      <c r="E553">
        <v>124000</v>
      </c>
      <c r="F553">
        <v>124000</v>
      </c>
      <c r="G553" s="1">
        <v>4.4999999999999998E-2</v>
      </c>
      <c r="H553" s="1">
        <v>4.4999999999999998E-2</v>
      </c>
      <c r="I553" s="1">
        <v>4.4999999999999998E-2</v>
      </c>
      <c r="J553" s="1">
        <v>0.36480000000000001</v>
      </c>
    </row>
    <row r="554" spans="1:10" x14ac:dyDescent="0.2">
      <c r="A554" t="str">
        <f>"17/06/2024"</f>
        <v>17/06/2024</v>
      </c>
      <c r="B554">
        <v>1</v>
      </c>
      <c r="C554">
        <v>129000</v>
      </c>
      <c r="D554">
        <v>310674</v>
      </c>
      <c r="E554">
        <v>129000</v>
      </c>
      <c r="F554">
        <v>129000</v>
      </c>
      <c r="G554" s="1">
        <v>4.4999999999999998E-2</v>
      </c>
      <c r="H554" s="1">
        <v>4.4999999999999998E-2</v>
      </c>
      <c r="I554" s="1">
        <v>4.4999999999999998E-2</v>
      </c>
      <c r="J554" s="1">
        <v>0.37690000000000001</v>
      </c>
    </row>
    <row r="555" spans="1:10" x14ac:dyDescent="0.2">
      <c r="A555" t="str">
        <f>"16/06/2024"</f>
        <v>16/06/2024</v>
      </c>
      <c r="B555">
        <v>1</v>
      </c>
      <c r="C555">
        <v>131000</v>
      </c>
      <c r="D555">
        <v>311316</v>
      </c>
      <c r="E555">
        <v>131000</v>
      </c>
      <c r="F555">
        <v>131000</v>
      </c>
      <c r="G555" s="1">
        <v>4.4999999999999998E-2</v>
      </c>
      <c r="H555" s="1">
        <v>4.4999999999999998E-2</v>
      </c>
      <c r="I555" s="1">
        <v>4.4999999999999998E-2</v>
      </c>
      <c r="J555" s="1">
        <v>0.3826</v>
      </c>
    </row>
    <row r="556" spans="1:10" x14ac:dyDescent="0.2">
      <c r="A556" t="str">
        <f>"13/06/2024"</f>
        <v>13/06/2024</v>
      </c>
      <c r="B556">
        <v>3</v>
      </c>
      <c r="C556">
        <v>134000</v>
      </c>
      <c r="D556">
        <v>300787</v>
      </c>
      <c r="E556">
        <v>134000</v>
      </c>
      <c r="F556">
        <v>134000</v>
      </c>
      <c r="G556" s="1">
        <v>4.4999999999999998E-2</v>
      </c>
      <c r="H556" s="1">
        <v>4.4999999999999998E-2</v>
      </c>
      <c r="I556" s="1">
        <v>4.4999999999999998E-2</v>
      </c>
      <c r="J556" s="1">
        <v>0.4022</v>
      </c>
    </row>
    <row r="557" spans="1:10" x14ac:dyDescent="0.2">
      <c r="A557" t="str">
        <f>"10/06/2024"</f>
        <v>10/06/2024</v>
      </c>
      <c r="B557">
        <v>3</v>
      </c>
      <c r="C557">
        <v>135000</v>
      </c>
      <c r="D557">
        <v>301430</v>
      </c>
      <c r="E557">
        <v>135000</v>
      </c>
      <c r="F557">
        <v>135000</v>
      </c>
      <c r="G557" s="1">
        <v>4.4999999999999998E-2</v>
      </c>
      <c r="H557" s="1">
        <v>4.4999999999999998E-2</v>
      </c>
      <c r="I557" s="1">
        <v>4.4999999999999998E-2</v>
      </c>
      <c r="J557" s="1">
        <v>0.40100000000000002</v>
      </c>
    </row>
    <row r="558" spans="1:10" x14ac:dyDescent="0.2">
      <c r="A558" t="str">
        <f>"09/06/2024"</f>
        <v>09/06/2024</v>
      </c>
      <c r="B558">
        <v>1</v>
      </c>
      <c r="C558">
        <v>137000</v>
      </c>
      <c r="D558">
        <v>314465</v>
      </c>
      <c r="E558">
        <v>137000</v>
      </c>
      <c r="F558">
        <v>137000</v>
      </c>
      <c r="G558" s="1">
        <v>4.4999999999999998E-2</v>
      </c>
      <c r="H558" s="1">
        <v>4.4999999999999998E-2</v>
      </c>
      <c r="I558" s="1">
        <v>4.4999999999999998E-2</v>
      </c>
      <c r="J558" s="1">
        <v>0.39069999999999999</v>
      </c>
    </row>
    <row r="559" spans="1:10" x14ac:dyDescent="0.2">
      <c r="A559" t="str">
        <f>"06/06/2024"</f>
        <v>06/06/2024</v>
      </c>
      <c r="B559">
        <v>3</v>
      </c>
      <c r="C559">
        <v>136000</v>
      </c>
      <c r="D559">
        <v>339442</v>
      </c>
      <c r="E559">
        <v>136000</v>
      </c>
      <c r="F559">
        <v>136000</v>
      </c>
      <c r="G559" s="1">
        <v>4.4999999999999998E-2</v>
      </c>
      <c r="H559" s="1">
        <v>4.4999999999999998E-2</v>
      </c>
      <c r="I559" s="1">
        <v>4.4999999999999998E-2</v>
      </c>
      <c r="J559" s="1">
        <v>0.36009999999999998</v>
      </c>
    </row>
    <row r="560" spans="1:10" x14ac:dyDescent="0.2">
      <c r="A560" t="str">
        <f>"05/06/2024"</f>
        <v>05/06/2024</v>
      </c>
      <c r="B560">
        <v>1</v>
      </c>
      <c r="C560">
        <v>134000</v>
      </c>
      <c r="D560">
        <v>348003</v>
      </c>
      <c r="E560">
        <v>134000</v>
      </c>
      <c r="F560">
        <v>134000</v>
      </c>
      <c r="G560" s="1">
        <v>4.4999999999999998E-2</v>
      </c>
      <c r="H560" s="1">
        <v>4.4999999999999998E-2</v>
      </c>
      <c r="I560" s="1">
        <v>4.4999999999999998E-2</v>
      </c>
      <c r="J560" s="1">
        <v>0.32769999999999999</v>
      </c>
    </row>
    <row r="561" spans="1:10" x14ac:dyDescent="0.2">
      <c r="A561" t="str">
        <f>"04/06/2024"</f>
        <v>04/06/2024</v>
      </c>
      <c r="B561">
        <v>1</v>
      </c>
      <c r="C561">
        <v>128000</v>
      </c>
      <c r="D561">
        <v>339445</v>
      </c>
      <c r="E561">
        <v>128000</v>
      </c>
      <c r="F561">
        <v>128000</v>
      </c>
      <c r="G561" s="1">
        <v>4.4999999999999998E-2</v>
      </c>
      <c r="H561" s="1">
        <v>4.4999999999999998E-2</v>
      </c>
      <c r="I561" s="1">
        <v>4.4999999999999998E-2</v>
      </c>
      <c r="J561" s="1">
        <v>0.33310000000000001</v>
      </c>
    </row>
    <row r="562" spans="1:10" x14ac:dyDescent="0.2">
      <c r="A562" t="str">
        <f>"03/06/2024"</f>
        <v>03/06/2024</v>
      </c>
      <c r="B562">
        <v>1</v>
      </c>
      <c r="C562">
        <v>127000</v>
      </c>
      <c r="D562">
        <v>321386</v>
      </c>
      <c r="E562">
        <v>127000</v>
      </c>
      <c r="F562">
        <v>127000</v>
      </c>
      <c r="G562" s="1">
        <v>4.4999999999999998E-2</v>
      </c>
      <c r="H562" s="1">
        <v>4.4999999999999998E-2</v>
      </c>
      <c r="I562" s="1">
        <v>4.4999999999999998E-2</v>
      </c>
      <c r="J562" s="1">
        <v>0.35120000000000001</v>
      </c>
    </row>
    <row r="563" spans="1:10" x14ac:dyDescent="0.2">
      <c r="A563" t="str">
        <f>"02/06/2024"</f>
        <v>02/06/2024</v>
      </c>
      <c r="B563">
        <v>1</v>
      </c>
      <c r="C563">
        <v>128000</v>
      </c>
      <c r="D563">
        <v>287863</v>
      </c>
      <c r="E563">
        <v>128000</v>
      </c>
      <c r="F563">
        <v>128000</v>
      </c>
      <c r="G563" s="1">
        <v>4.4999999999999998E-2</v>
      </c>
      <c r="H563" s="1">
        <v>4.4999999999999998E-2</v>
      </c>
      <c r="I563" s="1">
        <v>4.4999999999999998E-2</v>
      </c>
      <c r="J563" s="1">
        <v>0.4012</v>
      </c>
    </row>
    <row r="564" spans="1:10" x14ac:dyDescent="0.2">
      <c r="A564" t="str">
        <f>"30/05/2024"</f>
        <v>30/05/2024</v>
      </c>
      <c r="B564">
        <v>3</v>
      </c>
      <c r="C564">
        <v>114000</v>
      </c>
      <c r="D564">
        <v>224966</v>
      </c>
      <c r="E564">
        <v>114000</v>
      </c>
      <c r="F564">
        <v>114000</v>
      </c>
      <c r="G564" s="1">
        <v>4.4999999999999998E-2</v>
      </c>
      <c r="H564" s="1">
        <v>4.4999999999999998E-2</v>
      </c>
      <c r="I564" s="1">
        <v>4.4999999999999998E-2</v>
      </c>
      <c r="J564" s="1">
        <v>0.4556</v>
      </c>
    </row>
    <row r="565" spans="1:10" x14ac:dyDescent="0.2">
      <c r="A565" t="str">
        <f>"29/05/2024"</f>
        <v>29/05/2024</v>
      </c>
      <c r="B565">
        <v>1</v>
      </c>
      <c r="C565">
        <v>108000</v>
      </c>
      <c r="D565">
        <v>104353</v>
      </c>
      <c r="E565">
        <v>104353</v>
      </c>
      <c r="F565">
        <v>104353</v>
      </c>
      <c r="G565" s="1">
        <v>4.4999999999999998E-2</v>
      </c>
      <c r="H565" s="1">
        <v>4.4999999999999998E-2</v>
      </c>
      <c r="I565" s="1">
        <v>4.4999999999999998E-2</v>
      </c>
      <c r="J565" s="1">
        <v>1</v>
      </c>
    </row>
    <row r="566" spans="1:10" x14ac:dyDescent="0.2">
      <c r="A566" t="str">
        <f>"28/05/2024"</f>
        <v>28/05/2024</v>
      </c>
      <c r="B566">
        <v>1</v>
      </c>
      <c r="C566">
        <v>110000</v>
      </c>
      <c r="D566">
        <v>222578</v>
      </c>
      <c r="E566">
        <v>110000</v>
      </c>
      <c r="F566">
        <v>110000</v>
      </c>
      <c r="G566" s="1">
        <v>4.4999999999999998E-2</v>
      </c>
      <c r="H566" s="1">
        <v>4.4999999999999998E-2</v>
      </c>
      <c r="I566" s="1">
        <v>4.4999999999999998E-2</v>
      </c>
      <c r="J566" s="1">
        <v>0.41049999999999998</v>
      </c>
    </row>
    <row r="567" spans="1:10" x14ac:dyDescent="0.2">
      <c r="A567" t="str">
        <f>"27/05/2024"</f>
        <v>27/05/2024</v>
      </c>
      <c r="B567">
        <v>1</v>
      </c>
      <c r="C567">
        <v>108000</v>
      </c>
      <c r="D567">
        <v>251228</v>
      </c>
      <c r="E567">
        <v>108000</v>
      </c>
      <c r="F567">
        <v>108000</v>
      </c>
      <c r="G567" s="1">
        <v>4.4999999999999998E-2</v>
      </c>
      <c r="H567" s="1">
        <v>4.4999999999999998E-2</v>
      </c>
      <c r="I567" s="1">
        <v>4.4999999999999998E-2</v>
      </c>
      <c r="J567" s="1">
        <v>0.38250000000000001</v>
      </c>
    </row>
    <row r="568" spans="1:10" x14ac:dyDescent="0.2">
      <c r="A568" t="str">
        <f>"26/05/2024"</f>
        <v>26/05/2024</v>
      </c>
      <c r="B568">
        <v>1</v>
      </c>
      <c r="C568">
        <v>108000</v>
      </c>
      <c r="D568">
        <v>252859</v>
      </c>
      <c r="E568">
        <v>108000</v>
      </c>
      <c r="F568">
        <v>108000</v>
      </c>
      <c r="G568" s="1">
        <v>4.4999999999999998E-2</v>
      </c>
      <c r="H568" s="1">
        <v>4.4999999999999998E-2</v>
      </c>
      <c r="I568" s="1">
        <v>4.4999999999999998E-2</v>
      </c>
      <c r="J568" s="1">
        <v>0.3795</v>
      </c>
    </row>
    <row r="569" spans="1:10" x14ac:dyDescent="0.2">
      <c r="A569" t="str">
        <f>"23/05/2024"</f>
        <v>23/05/2024</v>
      </c>
      <c r="B569">
        <v>3</v>
      </c>
      <c r="C569">
        <v>116000</v>
      </c>
      <c r="D569">
        <v>270904</v>
      </c>
      <c r="E569">
        <v>116000</v>
      </c>
      <c r="F569">
        <v>116000</v>
      </c>
      <c r="G569" s="1">
        <v>4.4999999999999998E-2</v>
      </c>
      <c r="H569" s="1">
        <v>4.4999999999999998E-2</v>
      </c>
      <c r="I569" s="1">
        <v>4.4999999999999998E-2</v>
      </c>
      <c r="J569" s="1">
        <v>0.3921</v>
      </c>
    </row>
    <row r="570" spans="1:10" x14ac:dyDescent="0.2">
      <c r="A570" t="str">
        <f>"22/05/2024"</f>
        <v>22/05/2024</v>
      </c>
      <c r="B570">
        <v>1</v>
      </c>
      <c r="C570">
        <v>120000</v>
      </c>
      <c r="D570">
        <v>278056</v>
      </c>
      <c r="E570">
        <v>120000</v>
      </c>
      <c r="F570">
        <v>120000</v>
      </c>
      <c r="G570" s="1">
        <v>4.4999999999999998E-2</v>
      </c>
      <c r="H570" s="1">
        <v>4.4999999999999998E-2</v>
      </c>
      <c r="I570" s="1">
        <v>4.4999999999999998E-2</v>
      </c>
      <c r="J570" s="1">
        <v>0.38800000000000001</v>
      </c>
    </row>
    <row r="571" spans="1:10" x14ac:dyDescent="0.2">
      <c r="A571" t="str">
        <f>"21/05/2024"</f>
        <v>21/05/2024</v>
      </c>
      <c r="B571">
        <v>1</v>
      </c>
      <c r="C571">
        <v>123000</v>
      </c>
      <c r="D571">
        <v>288672</v>
      </c>
      <c r="E571">
        <v>123000</v>
      </c>
      <c r="F571">
        <v>123000</v>
      </c>
      <c r="G571" s="1">
        <v>4.4999999999999998E-2</v>
      </c>
      <c r="H571" s="1">
        <v>4.4999999999999998E-2</v>
      </c>
      <c r="I571" s="1">
        <v>4.4999999999999998E-2</v>
      </c>
      <c r="J571" s="1">
        <v>0.38419999999999999</v>
      </c>
    </row>
    <row r="572" spans="1:10" x14ac:dyDescent="0.2">
      <c r="A572" t="str">
        <f>"20/05/2024"</f>
        <v>20/05/2024</v>
      </c>
      <c r="B572">
        <v>1</v>
      </c>
      <c r="C572">
        <v>125000</v>
      </c>
      <c r="D572">
        <v>285397</v>
      </c>
      <c r="E572">
        <v>125000</v>
      </c>
      <c r="F572">
        <v>125000</v>
      </c>
      <c r="G572" s="1">
        <v>4.4999999999999998E-2</v>
      </c>
      <c r="H572" s="1">
        <v>4.4999999999999998E-2</v>
      </c>
      <c r="I572" s="1">
        <v>4.4999999999999998E-2</v>
      </c>
      <c r="J572" s="1">
        <v>0.39450000000000002</v>
      </c>
    </row>
    <row r="573" spans="1:10" x14ac:dyDescent="0.2">
      <c r="A573" t="str">
        <f>"19/05/2024"</f>
        <v>19/05/2024</v>
      </c>
      <c r="B573">
        <v>1</v>
      </c>
      <c r="C573">
        <v>127000</v>
      </c>
      <c r="D573">
        <v>289837</v>
      </c>
      <c r="E573">
        <v>127000</v>
      </c>
      <c r="F573">
        <v>127000</v>
      </c>
      <c r="G573" s="1">
        <v>4.4999999999999998E-2</v>
      </c>
      <c r="H573" s="1">
        <v>4.4999999999999998E-2</v>
      </c>
      <c r="I573" s="1">
        <v>4.4999999999999998E-2</v>
      </c>
      <c r="J573" s="1">
        <v>0.40110000000000001</v>
      </c>
    </row>
    <row r="574" spans="1:10" x14ac:dyDescent="0.2">
      <c r="A574" t="str">
        <f>"16/05/2024"</f>
        <v>16/05/2024</v>
      </c>
      <c r="B574">
        <v>3</v>
      </c>
      <c r="C574">
        <v>130000</v>
      </c>
      <c r="D574">
        <v>291222</v>
      </c>
      <c r="E574">
        <v>130000</v>
      </c>
      <c r="F574">
        <v>130000</v>
      </c>
      <c r="G574" s="1">
        <v>4.4999999999999998E-2</v>
      </c>
      <c r="H574" s="1">
        <v>4.4999999999999998E-2</v>
      </c>
      <c r="I574" s="1">
        <v>4.4999999999999998E-2</v>
      </c>
      <c r="J574" s="1">
        <v>0.41320000000000001</v>
      </c>
    </row>
    <row r="575" spans="1:10" x14ac:dyDescent="0.2">
      <c r="A575" t="str">
        <f>"15/05/2024"</f>
        <v>15/05/2024</v>
      </c>
      <c r="B575">
        <v>1</v>
      </c>
      <c r="C575">
        <v>136000</v>
      </c>
      <c r="D575">
        <v>327668</v>
      </c>
      <c r="E575">
        <v>136000</v>
      </c>
      <c r="F575">
        <v>136000</v>
      </c>
      <c r="G575" s="1">
        <v>4.4999999999999998E-2</v>
      </c>
      <c r="H575" s="1">
        <v>4.4999999999999998E-2</v>
      </c>
      <c r="I575" s="1">
        <v>4.4999999999999998E-2</v>
      </c>
      <c r="J575" s="1">
        <v>0.37759999999999999</v>
      </c>
    </row>
    <row r="576" spans="1:10" x14ac:dyDescent="0.2">
      <c r="A576" t="str">
        <f>"12/05/2024"</f>
        <v>12/05/2024</v>
      </c>
      <c r="B576">
        <v>3</v>
      </c>
      <c r="C576">
        <v>136000</v>
      </c>
      <c r="D576">
        <v>311631</v>
      </c>
      <c r="E576">
        <v>136000</v>
      </c>
      <c r="F576">
        <v>136000</v>
      </c>
      <c r="G576" s="1">
        <v>4.4999999999999998E-2</v>
      </c>
      <c r="H576" s="1">
        <v>4.4999999999999998E-2</v>
      </c>
      <c r="I576" s="1">
        <v>4.4999999999999998E-2</v>
      </c>
      <c r="J576" s="1">
        <v>0.40410000000000001</v>
      </c>
    </row>
    <row r="577" spans="1:10" x14ac:dyDescent="0.2">
      <c r="A577" t="str">
        <f>"09/05/2024"</f>
        <v>09/05/2024</v>
      </c>
      <c r="B577">
        <v>3</v>
      </c>
      <c r="C577">
        <v>133000</v>
      </c>
      <c r="D577">
        <v>302548</v>
      </c>
      <c r="E577">
        <v>133000</v>
      </c>
      <c r="F577">
        <v>133000</v>
      </c>
      <c r="G577" s="1">
        <v>4.4999999999999998E-2</v>
      </c>
      <c r="H577" s="1">
        <v>4.4999999999999998E-2</v>
      </c>
      <c r="I577" s="1">
        <v>4.4999999999999998E-2</v>
      </c>
      <c r="J577" s="1">
        <v>0.40789999999999998</v>
      </c>
    </row>
    <row r="578" spans="1:10" x14ac:dyDescent="0.2">
      <c r="A578" t="str">
        <f>"08/05/2024"</f>
        <v>08/05/2024</v>
      </c>
      <c r="B578">
        <v>1</v>
      </c>
      <c r="C578">
        <v>134000</v>
      </c>
      <c r="D578">
        <v>301767</v>
      </c>
      <c r="E578">
        <v>134000</v>
      </c>
      <c r="F578">
        <v>134000</v>
      </c>
      <c r="G578" s="1">
        <v>4.4999999999999998E-2</v>
      </c>
      <c r="H578" s="1">
        <v>4.4999999999999998E-2</v>
      </c>
      <c r="I578" s="1">
        <v>4.4999999999999998E-2</v>
      </c>
      <c r="J578" s="1">
        <v>0.40510000000000002</v>
      </c>
    </row>
    <row r="579" spans="1:10" x14ac:dyDescent="0.2">
      <c r="A579" t="str">
        <f>"07/05/2024"</f>
        <v>07/05/2024</v>
      </c>
      <c r="B579">
        <v>1</v>
      </c>
      <c r="C579">
        <v>138000</v>
      </c>
      <c r="D579">
        <v>311040</v>
      </c>
      <c r="E579">
        <v>138000</v>
      </c>
      <c r="F579">
        <v>138000</v>
      </c>
      <c r="G579" s="1">
        <v>4.4999999999999998E-2</v>
      </c>
      <c r="H579" s="1">
        <v>4.4999999999999998E-2</v>
      </c>
      <c r="I579" s="1">
        <v>4.4999999999999998E-2</v>
      </c>
      <c r="J579" s="1">
        <v>0.40410000000000001</v>
      </c>
    </row>
    <row r="580" spans="1:10" x14ac:dyDescent="0.2">
      <c r="A580" t="str">
        <f>"06/05/2024"</f>
        <v>06/05/2024</v>
      </c>
      <c r="B580">
        <v>1</v>
      </c>
      <c r="C580">
        <v>139000</v>
      </c>
      <c r="D580">
        <v>309714</v>
      </c>
      <c r="E580">
        <v>139000</v>
      </c>
      <c r="F580">
        <v>139000</v>
      </c>
      <c r="G580" s="1">
        <v>4.4999999999999998E-2</v>
      </c>
      <c r="H580" s="1">
        <v>4.4999999999999998E-2</v>
      </c>
      <c r="I580" s="1">
        <v>4.4999999999999998E-2</v>
      </c>
      <c r="J580" s="1">
        <v>0.4083</v>
      </c>
    </row>
    <row r="581" spans="1:10" x14ac:dyDescent="0.2">
      <c r="A581" t="str">
        <f>"05/05/2024"</f>
        <v>05/05/2024</v>
      </c>
      <c r="B581">
        <v>1</v>
      </c>
      <c r="C581">
        <v>139000</v>
      </c>
      <c r="D581">
        <v>312647</v>
      </c>
      <c r="E581">
        <v>139000</v>
      </c>
      <c r="F581">
        <v>139000</v>
      </c>
      <c r="G581" s="1">
        <v>4.4999999999999998E-2</v>
      </c>
      <c r="H581" s="1">
        <v>4.4999999999999998E-2</v>
      </c>
      <c r="I581" s="1">
        <v>4.4999999999999998E-2</v>
      </c>
      <c r="J581" s="1">
        <v>0.40789999999999998</v>
      </c>
    </row>
    <row r="582" spans="1:10" x14ac:dyDescent="0.2">
      <c r="A582" t="str">
        <f>"02/05/2024"</f>
        <v>02/05/2024</v>
      </c>
      <c r="B582">
        <v>3</v>
      </c>
      <c r="C582">
        <v>140000</v>
      </c>
      <c r="D582">
        <v>314878</v>
      </c>
      <c r="E582">
        <v>140000</v>
      </c>
      <c r="F582">
        <v>140000</v>
      </c>
      <c r="G582" s="1">
        <v>4.4999999999999998E-2</v>
      </c>
      <c r="H582" s="1">
        <v>4.4999999999999998E-2</v>
      </c>
      <c r="I582" s="1">
        <v>4.4999999999999998E-2</v>
      </c>
      <c r="J582" s="1">
        <v>0.41389999999999999</v>
      </c>
    </row>
    <row r="583" spans="1:10" x14ac:dyDescent="0.2">
      <c r="A583" t="str">
        <f>"01/05/2024"</f>
        <v>01/05/2024</v>
      </c>
      <c r="B583">
        <v>1</v>
      </c>
      <c r="C583">
        <v>140000</v>
      </c>
      <c r="D583">
        <v>331419</v>
      </c>
      <c r="E583">
        <v>140000</v>
      </c>
      <c r="F583">
        <v>140000</v>
      </c>
      <c r="G583" s="1">
        <v>4.4999999999999998E-2</v>
      </c>
      <c r="H583" s="1">
        <v>4.4999999999999998E-2</v>
      </c>
      <c r="I583" s="1">
        <v>4.4999999999999998E-2</v>
      </c>
      <c r="J583" s="1">
        <v>0.38290000000000002</v>
      </c>
    </row>
    <row r="584" spans="1:10" x14ac:dyDescent="0.2">
      <c r="A584" t="str">
        <f>"30/04/2024"</f>
        <v>30/04/2024</v>
      </c>
      <c r="B584">
        <v>1</v>
      </c>
      <c r="C584">
        <v>127000</v>
      </c>
      <c r="D584">
        <v>287213</v>
      </c>
      <c r="E584">
        <v>127000</v>
      </c>
      <c r="F584">
        <v>127000</v>
      </c>
      <c r="G584" s="1">
        <v>4.4999999999999998E-2</v>
      </c>
      <c r="H584" s="1">
        <v>4.4999999999999998E-2</v>
      </c>
      <c r="I584" s="1">
        <v>4.4999999999999998E-2</v>
      </c>
      <c r="J584" s="1">
        <v>0.40239999999999998</v>
      </c>
    </row>
    <row r="585" spans="1:10" x14ac:dyDescent="0.2">
      <c r="A585" t="str">
        <f>"25/04/2024"</f>
        <v>25/04/2024</v>
      </c>
      <c r="B585">
        <v>5</v>
      </c>
      <c r="C585">
        <v>128000</v>
      </c>
      <c r="D585">
        <v>266327</v>
      </c>
      <c r="E585">
        <v>128000</v>
      </c>
      <c r="F585">
        <v>128000</v>
      </c>
      <c r="G585" s="1">
        <v>4.4999999999999998E-2</v>
      </c>
      <c r="H585" s="1">
        <v>4.4999999999999998E-2</v>
      </c>
      <c r="I585" s="1">
        <v>4.4999999999999998E-2</v>
      </c>
      <c r="J585" s="1">
        <v>0.4299</v>
      </c>
    </row>
    <row r="586" spans="1:10" x14ac:dyDescent="0.2">
      <c r="A586" t="str">
        <f>"24/04/2024"</f>
        <v>24/04/2024</v>
      </c>
      <c r="B586">
        <v>1</v>
      </c>
      <c r="C586">
        <v>125000</v>
      </c>
      <c r="D586">
        <v>283243</v>
      </c>
      <c r="E586">
        <v>125000</v>
      </c>
      <c r="F586">
        <v>125000</v>
      </c>
      <c r="G586" s="1">
        <v>4.4999999999999998E-2</v>
      </c>
      <c r="H586" s="1">
        <v>4.4999999999999998E-2</v>
      </c>
      <c r="I586" s="1">
        <v>4.4999999999999998E-2</v>
      </c>
      <c r="J586" s="1">
        <v>0.40539999999999998</v>
      </c>
    </row>
    <row r="587" spans="1:10" x14ac:dyDescent="0.2">
      <c r="A587" t="str">
        <f>"21/04/2024"</f>
        <v>21/04/2024</v>
      </c>
      <c r="B587">
        <v>3</v>
      </c>
      <c r="C587">
        <v>128000</v>
      </c>
      <c r="D587">
        <v>282268</v>
      </c>
      <c r="E587">
        <v>128000</v>
      </c>
      <c r="F587">
        <v>128000</v>
      </c>
      <c r="G587" s="1">
        <v>4.4999999999999998E-2</v>
      </c>
      <c r="H587" s="1">
        <v>4.4999999999999998E-2</v>
      </c>
      <c r="I587" s="1">
        <v>4.4999999999999998E-2</v>
      </c>
      <c r="J587" s="1">
        <v>0.40799999999999997</v>
      </c>
    </row>
    <row r="588" spans="1:10" x14ac:dyDescent="0.2">
      <c r="A588" t="str">
        <f>"18/04/2024"</f>
        <v>18/04/2024</v>
      </c>
      <c r="B588">
        <v>3</v>
      </c>
      <c r="C588">
        <v>131000</v>
      </c>
      <c r="D588">
        <v>288493</v>
      </c>
      <c r="E588">
        <v>131000</v>
      </c>
      <c r="F588">
        <v>131000</v>
      </c>
      <c r="G588" s="1">
        <v>4.4999999999999998E-2</v>
      </c>
      <c r="H588" s="1">
        <v>4.4999999999999998E-2</v>
      </c>
      <c r="I588" s="1">
        <v>4.4999999999999998E-2</v>
      </c>
      <c r="J588" s="1">
        <v>0.41249999999999998</v>
      </c>
    </row>
    <row r="589" spans="1:10" x14ac:dyDescent="0.2">
      <c r="A589" t="str">
        <f>"17/04/2024"</f>
        <v>17/04/2024</v>
      </c>
      <c r="B589">
        <v>1</v>
      </c>
      <c r="C589">
        <v>126000</v>
      </c>
      <c r="D589">
        <v>290306</v>
      </c>
      <c r="E589">
        <v>126000</v>
      </c>
      <c r="F589">
        <v>126000</v>
      </c>
      <c r="G589" s="1">
        <v>4.4999999999999998E-2</v>
      </c>
      <c r="H589" s="1">
        <v>4.4999999999999998E-2</v>
      </c>
      <c r="I589" s="1">
        <v>4.4999999999999998E-2</v>
      </c>
      <c r="J589" s="1">
        <v>0.39600000000000002</v>
      </c>
    </row>
    <row r="590" spans="1:10" x14ac:dyDescent="0.2">
      <c r="A590" t="str">
        <f>"16/04/2024"</f>
        <v>16/04/2024</v>
      </c>
      <c r="B590">
        <v>1</v>
      </c>
      <c r="C590">
        <v>125000</v>
      </c>
      <c r="D590">
        <v>283449</v>
      </c>
      <c r="E590">
        <v>125000</v>
      </c>
      <c r="F590">
        <v>125000</v>
      </c>
      <c r="G590" s="1">
        <v>4.4999999999999998E-2</v>
      </c>
      <c r="H590" s="1">
        <v>4.4999999999999998E-2</v>
      </c>
      <c r="I590" s="1">
        <v>4.4999999999999998E-2</v>
      </c>
      <c r="J590" s="1">
        <v>0.39879999999999999</v>
      </c>
    </row>
    <row r="591" spans="1:10" x14ac:dyDescent="0.2">
      <c r="A591" t="str">
        <f>"15/04/2024"</f>
        <v>15/04/2024</v>
      </c>
      <c r="B591">
        <v>1</v>
      </c>
      <c r="C591">
        <v>135000</v>
      </c>
      <c r="D591">
        <v>294669</v>
      </c>
      <c r="E591">
        <v>135000</v>
      </c>
      <c r="F591">
        <v>135000</v>
      </c>
      <c r="G591" s="1">
        <v>4.4999999999999998E-2</v>
      </c>
      <c r="H591" s="1">
        <v>4.4999999999999998E-2</v>
      </c>
      <c r="I591" s="1">
        <v>4.4999999999999998E-2</v>
      </c>
      <c r="J591" s="1">
        <v>0.41649999999999998</v>
      </c>
    </row>
    <row r="592" spans="1:10" x14ac:dyDescent="0.2">
      <c r="A592" t="str">
        <f>"14/04/2024"</f>
        <v>14/04/2024</v>
      </c>
      <c r="B592">
        <v>1</v>
      </c>
      <c r="C592">
        <v>136000</v>
      </c>
      <c r="D592">
        <v>287269</v>
      </c>
      <c r="E592">
        <v>136000</v>
      </c>
      <c r="F592">
        <v>136000</v>
      </c>
      <c r="G592" s="1">
        <v>4.4999999999999998E-2</v>
      </c>
      <c r="H592" s="1">
        <v>4.4999999999999998E-2</v>
      </c>
      <c r="I592" s="1">
        <v>4.4999999999999998E-2</v>
      </c>
      <c r="J592" s="1">
        <v>0.43980000000000002</v>
      </c>
    </row>
    <row r="593" spans="1:10" x14ac:dyDescent="0.2">
      <c r="A593" t="str">
        <f>"11/04/2024"</f>
        <v>11/04/2024</v>
      </c>
      <c r="B593">
        <v>3</v>
      </c>
      <c r="C593">
        <v>136000</v>
      </c>
      <c r="D593">
        <v>252822</v>
      </c>
      <c r="E593">
        <v>136000</v>
      </c>
      <c r="F593">
        <v>136000</v>
      </c>
      <c r="G593" s="1">
        <v>4.4999999999999998E-2</v>
      </c>
      <c r="H593" s="1">
        <v>4.4999999999999998E-2</v>
      </c>
      <c r="I593" s="1">
        <v>4.4999999999999998E-2</v>
      </c>
      <c r="J593" s="1">
        <v>0.49559999999999998</v>
      </c>
    </row>
    <row r="594" spans="1:10" x14ac:dyDescent="0.2">
      <c r="A594" t="str">
        <f>"10/04/2024"</f>
        <v>10/04/2024</v>
      </c>
      <c r="B594">
        <v>1</v>
      </c>
      <c r="C594">
        <v>135000</v>
      </c>
      <c r="D594">
        <v>131293</v>
      </c>
      <c r="E594">
        <v>131293</v>
      </c>
      <c r="F594">
        <v>131293</v>
      </c>
      <c r="G594" s="1">
        <v>4.4999999999999998E-2</v>
      </c>
      <c r="H594" s="1">
        <v>4.4999999999999998E-2</v>
      </c>
      <c r="I594" s="1">
        <v>4.4999999999999998E-2</v>
      </c>
      <c r="J594" s="1">
        <v>1</v>
      </c>
    </row>
    <row r="595" spans="1:10" x14ac:dyDescent="0.2">
      <c r="A595" t="str">
        <f>"09/04/2024"</f>
        <v>09/04/2024</v>
      </c>
      <c r="B595">
        <v>1</v>
      </c>
      <c r="C595">
        <v>131000</v>
      </c>
      <c r="D595">
        <v>265245</v>
      </c>
      <c r="E595">
        <v>131000</v>
      </c>
      <c r="F595">
        <v>131000</v>
      </c>
      <c r="G595" s="1">
        <v>4.4999999999999998E-2</v>
      </c>
      <c r="H595" s="1">
        <v>4.4999999999999998E-2</v>
      </c>
      <c r="I595" s="1">
        <v>4.4999999999999998E-2</v>
      </c>
      <c r="J595" s="1">
        <v>0.4284</v>
      </c>
    </row>
    <row r="596" spans="1:10" x14ac:dyDescent="0.2">
      <c r="A596" t="str">
        <f>"08/04/2024"</f>
        <v>08/04/2024</v>
      </c>
      <c r="B596">
        <v>1</v>
      </c>
      <c r="C596">
        <v>133000</v>
      </c>
      <c r="D596">
        <v>280539</v>
      </c>
      <c r="E596">
        <v>133000</v>
      </c>
      <c r="F596">
        <v>133000</v>
      </c>
      <c r="G596" s="1">
        <v>4.4999999999999998E-2</v>
      </c>
      <c r="H596" s="1">
        <v>4.4999999999999998E-2</v>
      </c>
      <c r="I596" s="1">
        <v>4.4999999999999998E-2</v>
      </c>
      <c r="J596" s="1">
        <v>0.434</v>
      </c>
    </row>
    <row r="597" spans="1:10" x14ac:dyDescent="0.2">
      <c r="A597" t="str">
        <f>"07/04/2024"</f>
        <v>07/04/2024</v>
      </c>
      <c r="B597">
        <v>1</v>
      </c>
      <c r="C597">
        <v>132000</v>
      </c>
      <c r="D597">
        <v>279476</v>
      </c>
      <c r="E597">
        <v>132000</v>
      </c>
      <c r="F597">
        <v>132000</v>
      </c>
      <c r="G597" s="1">
        <v>4.4999999999999998E-2</v>
      </c>
      <c r="H597" s="1">
        <v>4.4999999999999998E-2</v>
      </c>
      <c r="I597" s="1">
        <v>4.4999999999999998E-2</v>
      </c>
      <c r="J597" s="1">
        <v>0.4325</v>
      </c>
    </row>
    <row r="598" spans="1:10" x14ac:dyDescent="0.2">
      <c r="A598" t="str">
        <f>"04/04/2024"</f>
        <v>04/04/2024</v>
      </c>
      <c r="B598">
        <v>3</v>
      </c>
      <c r="C598">
        <v>134000</v>
      </c>
      <c r="D598">
        <v>283428</v>
      </c>
      <c r="E598">
        <v>134000</v>
      </c>
      <c r="F598">
        <v>134000</v>
      </c>
      <c r="G598" s="1">
        <v>4.4999999999999998E-2</v>
      </c>
      <c r="H598" s="1">
        <v>4.4999999999999998E-2</v>
      </c>
      <c r="I598" s="1">
        <v>4.4999999999999998E-2</v>
      </c>
      <c r="J598" s="1">
        <v>0.4415</v>
      </c>
    </row>
    <row r="599" spans="1:10" x14ac:dyDescent="0.2">
      <c r="A599" t="str">
        <f>"03/04/2024"</f>
        <v>03/04/2024</v>
      </c>
      <c r="B599">
        <v>1</v>
      </c>
      <c r="C599">
        <v>133000</v>
      </c>
      <c r="D599">
        <v>284812</v>
      </c>
      <c r="E599">
        <v>133000</v>
      </c>
      <c r="F599">
        <v>133000</v>
      </c>
      <c r="G599" s="1">
        <v>4.4999999999999998E-2</v>
      </c>
      <c r="H599" s="1">
        <v>4.4999999999999998E-2</v>
      </c>
      <c r="I599" s="1">
        <v>4.4999999999999998E-2</v>
      </c>
      <c r="J599" s="1">
        <v>0.42799999999999999</v>
      </c>
    </row>
    <row r="600" spans="1:10" x14ac:dyDescent="0.2">
      <c r="A600" t="str">
        <f>"02/04/2024"</f>
        <v>02/04/2024</v>
      </c>
      <c r="B600">
        <v>1</v>
      </c>
      <c r="C600">
        <v>132000</v>
      </c>
      <c r="D600">
        <v>270828</v>
      </c>
      <c r="E600">
        <v>132000</v>
      </c>
      <c r="F600">
        <v>132000</v>
      </c>
      <c r="G600" s="1">
        <v>4.4999999999999998E-2</v>
      </c>
      <c r="H600" s="1">
        <v>4.4999999999999998E-2</v>
      </c>
      <c r="I600" s="1">
        <v>4.4999999999999998E-2</v>
      </c>
      <c r="J600" s="1">
        <v>0.44669999999999999</v>
      </c>
    </row>
    <row r="601" spans="1:10" x14ac:dyDescent="0.2">
      <c r="A601" t="str">
        <f>"01/04/2024"</f>
        <v>01/04/2024</v>
      </c>
      <c r="B601">
        <v>1</v>
      </c>
      <c r="C601">
        <v>133000</v>
      </c>
      <c r="D601">
        <v>260165</v>
      </c>
      <c r="E601">
        <v>133000</v>
      </c>
      <c r="F601">
        <v>133000</v>
      </c>
      <c r="G601" s="1">
        <v>4.4999999999999998E-2</v>
      </c>
      <c r="H601" s="1">
        <v>4.4999999999999998E-2</v>
      </c>
      <c r="I601" s="1">
        <v>4.4999999999999998E-2</v>
      </c>
      <c r="J601" s="1">
        <v>0.46929999999999999</v>
      </c>
    </row>
    <row r="602" spans="1:10" x14ac:dyDescent="0.2">
      <c r="A602" t="str">
        <f>"31/03/2024"</f>
        <v>31/03/2024</v>
      </c>
      <c r="B602">
        <v>1</v>
      </c>
      <c r="C602">
        <v>120000</v>
      </c>
      <c r="D602">
        <v>231429</v>
      </c>
      <c r="E602">
        <v>120000</v>
      </c>
      <c r="F602">
        <v>120000</v>
      </c>
      <c r="G602" s="1">
        <v>4.4999999999999998E-2</v>
      </c>
      <c r="H602" s="1">
        <v>4.4999999999999998E-2</v>
      </c>
      <c r="I602" s="1">
        <v>4.4999999999999998E-2</v>
      </c>
      <c r="J602" s="1">
        <v>0.47570000000000001</v>
      </c>
    </row>
    <row r="603" spans="1:10" x14ac:dyDescent="0.2">
      <c r="A603" t="str">
        <f>"28/03/2024"</f>
        <v>28/03/2024</v>
      </c>
      <c r="B603">
        <v>3</v>
      </c>
      <c r="C603">
        <v>106000</v>
      </c>
      <c r="D603">
        <v>203063</v>
      </c>
      <c r="E603">
        <v>106000</v>
      </c>
      <c r="F603">
        <v>106000</v>
      </c>
      <c r="G603" s="1">
        <v>4.4999999999999998E-2</v>
      </c>
      <c r="H603" s="1">
        <v>4.4999999999999998E-2</v>
      </c>
      <c r="I603" s="1">
        <v>4.4999999999999998E-2</v>
      </c>
      <c r="J603" s="1">
        <v>0.48709999999999998</v>
      </c>
    </row>
    <row r="604" spans="1:10" x14ac:dyDescent="0.2">
      <c r="A604" t="str">
        <f>"27/03/2024"</f>
        <v>27/03/2024</v>
      </c>
      <c r="B604">
        <v>1</v>
      </c>
      <c r="C604">
        <v>103000</v>
      </c>
      <c r="D604">
        <v>197463</v>
      </c>
      <c r="E604">
        <v>103000</v>
      </c>
      <c r="F604">
        <v>103000</v>
      </c>
      <c r="G604" s="1">
        <v>4.4999999999999998E-2</v>
      </c>
      <c r="H604" s="1">
        <v>4.4999999999999998E-2</v>
      </c>
      <c r="I604" s="1">
        <v>4.4999999999999998E-2</v>
      </c>
      <c r="J604" s="1">
        <v>0.47560000000000002</v>
      </c>
    </row>
    <row r="605" spans="1:10" x14ac:dyDescent="0.2">
      <c r="A605" t="str">
        <f>"26/03/2024"</f>
        <v>26/03/2024</v>
      </c>
      <c r="B605">
        <v>1</v>
      </c>
      <c r="C605">
        <v>104000</v>
      </c>
      <c r="D605">
        <v>206374</v>
      </c>
      <c r="E605">
        <v>104000</v>
      </c>
      <c r="F605">
        <v>104000</v>
      </c>
      <c r="G605" s="1">
        <v>4.4999999999999998E-2</v>
      </c>
      <c r="H605" s="1">
        <v>4.4999999999999998E-2</v>
      </c>
      <c r="I605" s="1">
        <v>4.4999999999999998E-2</v>
      </c>
      <c r="J605" s="1">
        <v>0.45900000000000002</v>
      </c>
    </row>
    <row r="606" spans="1:10" x14ac:dyDescent="0.2">
      <c r="A606" t="str">
        <f>"25/03/2024"</f>
        <v>25/03/2024</v>
      </c>
      <c r="B606">
        <v>1</v>
      </c>
      <c r="C606">
        <v>107000</v>
      </c>
      <c r="D606">
        <v>209873</v>
      </c>
      <c r="E606">
        <v>107000</v>
      </c>
      <c r="F606">
        <v>107000</v>
      </c>
      <c r="G606" s="1">
        <v>4.4999999999999998E-2</v>
      </c>
      <c r="H606" s="1">
        <v>4.4999999999999998E-2</v>
      </c>
      <c r="I606" s="1">
        <v>4.4999999999999998E-2</v>
      </c>
      <c r="J606" s="1">
        <v>0.4657</v>
      </c>
    </row>
    <row r="607" spans="1:10" x14ac:dyDescent="0.2">
      <c r="A607" t="str">
        <f>"21/03/2024"</f>
        <v>21/03/2024</v>
      </c>
      <c r="B607">
        <v>4</v>
      </c>
      <c r="C607">
        <v>107000</v>
      </c>
      <c r="D607">
        <v>203308</v>
      </c>
      <c r="E607">
        <v>107000</v>
      </c>
      <c r="F607">
        <v>107000</v>
      </c>
      <c r="G607" s="1">
        <v>4.4999999999999998E-2</v>
      </c>
      <c r="H607" s="1">
        <v>4.4999999999999998E-2</v>
      </c>
      <c r="I607" s="1">
        <v>4.4999999999999998E-2</v>
      </c>
      <c r="J607" s="1">
        <v>0.4899</v>
      </c>
    </row>
    <row r="608" spans="1:10" x14ac:dyDescent="0.2">
      <c r="A608" t="str">
        <f>"20/03/2024"</f>
        <v>20/03/2024</v>
      </c>
      <c r="B608">
        <v>1</v>
      </c>
      <c r="C608">
        <v>113000</v>
      </c>
      <c r="D608">
        <v>222768</v>
      </c>
      <c r="E608">
        <v>113000</v>
      </c>
      <c r="F608">
        <v>113000</v>
      </c>
      <c r="G608" s="1">
        <v>4.4999999999999998E-2</v>
      </c>
      <c r="H608" s="1">
        <v>4.4999999999999998E-2</v>
      </c>
      <c r="I608" s="1">
        <v>4.4999999999999998E-2</v>
      </c>
      <c r="J608" s="1">
        <v>0.46500000000000002</v>
      </c>
    </row>
    <row r="609" spans="1:10" x14ac:dyDescent="0.2">
      <c r="A609" t="str">
        <f>"19/03/2024"</f>
        <v>19/03/2024</v>
      </c>
      <c r="B609">
        <v>1</v>
      </c>
      <c r="C609">
        <v>115000</v>
      </c>
      <c r="D609">
        <v>231417</v>
      </c>
      <c r="E609">
        <v>115000</v>
      </c>
      <c r="F609">
        <v>115000</v>
      </c>
      <c r="G609" s="1">
        <v>4.4999999999999998E-2</v>
      </c>
      <c r="H609" s="1">
        <v>4.4999999999999998E-2</v>
      </c>
      <c r="I609" s="1">
        <v>4.4999999999999998E-2</v>
      </c>
      <c r="J609" s="1">
        <v>0.4526</v>
      </c>
    </row>
    <row r="610" spans="1:10" x14ac:dyDescent="0.2">
      <c r="A610" t="str">
        <f>"18/03/2024"</f>
        <v>18/03/2024</v>
      </c>
      <c r="B610">
        <v>1</v>
      </c>
      <c r="C610">
        <v>119000</v>
      </c>
      <c r="D610">
        <v>235061</v>
      </c>
      <c r="E610">
        <v>119000</v>
      </c>
      <c r="F610">
        <v>119000</v>
      </c>
      <c r="G610" s="1">
        <v>4.4999999999999998E-2</v>
      </c>
      <c r="H610" s="1">
        <v>4.4999999999999998E-2</v>
      </c>
      <c r="I610" s="1">
        <v>4.4999999999999998E-2</v>
      </c>
      <c r="J610" s="1">
        <v>0.46660000000000001</v>
      </c>
    </row>
    <row r="611" spans="1:10" x14ac:dyDescent="0.2">
      <c r="A611" t="str">
        <f>"17/03/2024"</f>
        <v>17/03/2024</v>
      </c>
      <c r="B611">
        <v>1</v>
      </c>
      <c r="C611">
        <v>123000</v>
      </c>
      <c r="D611">
        <v>242763</v>
      </c>
      <c r="E611">
        <v>123000</v>
      </c>
      <c r="F611">
        <v>123000</v>
      </c>
      <c r="G611" s="1">
        <v>4.4999999999999998E-2</v>
      </c>
      <c r="H611" s="1">
        <v>4.4999999999999998E-2</v>
      </c>
      <c r="I611" s="1">
        <v>4.4999999999999998E-2</v>
      </c>
      <c r="J611" s="1">
        <v>0.4698</v>
      </c>
    </row>
    <row r="612" spans="1:10" x14ac:dyDescent="0.2">
      <c r="A612" t="str">
        <f>"14/03/2024"</f>
        <v>14/03/2024</v>
      </c>
      <c r="B612">
        <v>3</v>
      </c>
      <c r="C612">
        <v>128000</v>
      </c>
      <c r="D612">
        <v>252433</v>
      </c>
      <c r="E612">
        <v>128000</v>
      </c>
      <c r="F612">
        <v>128000</v>
      </c>
      <c r="G612" s="1">
        <v>4.4999999999999998E-2</v>
      </c>
      <c r="H612" s="1">
        <v>4.4999999999999998E-2</v>
      </c>
      <c r="I612" s="1">
        <v>4.4999999999999998E-2</v>
      </c>
      <c r="J612" s="1">
        <v>0.47499999999999998</v>
      </c>
    </row>
    <row r="613" spans="1:10" x14ac:dyDescent="0.2">
      <c r="A613" t="str">
        <f>"13/03/2024"</f>
        <v>13/03/2024</v>
      </c>
      <c r="B613">
        <v>1</v>
      </c>
      <c r="C613">
        <v>128000</v>
      </c>
      <c r="D613">
        <v>254815</v>
      </c>
      <c r="E613">
        <v>128000</v>
      </c>
      <c r="F613">
        <v>128000</v>
      </c>
      <c r="G613" s="1">
        <v>4.4999999999999998E-2</v>
      </c>
      <c r="H613" s="1">
        <v>4.4999999999999998E-2</v>
      </c>
      <c r="I613" s="1">
        <v>4.4999999999999998E-2</v>
      </c>
      <c r="J613" s="1">
        <v>0.4597</v>
      </c>
    </row>
    <row r="614" spans="1:10" x14ac:dyDescent="0.2">
      <c r="A614" t="str">
        <f>"12/03/2024"</f>
        <v>12/03/2024</v>
      </c>
      <c r="B614">
        <v>1</v>
      </c>
      <c r="C614">
        <v>130000</v>
      </c>
      <c r="D614">
        <v>259852</v>
      </c>
      <c r="E614">
        <v>130000</v>
      </c>
      <c r="F614">
        <v>130000</v>
      </c>
      <c r="G614" s="1">
        <v>4.4999999999999998E-2</v>
      </c>
      <c r="H614" s="1">
        <v>4.4999999999999998E-2</v>
      </c>
      <c r="I614" s="1">
        <v>4.4999999999999998E-2</v>
      </c>
      <c r="J614" s="1">
        <v>0.4597</v>
      </c>
    </row>
    <row r="615" spans="1:10" x14ac:dyDescent="0.2">
      <c r="A615" t="str">
        <f>"11/03/2024"</f>
        <v>11/03/2024</v>
      </c>
      <c r="B615">
        <v>1</v>
      </c>
      <c r="C615">
        <v>133000</v>
      </c>
      <c r="D615">
        <v>263233</v>
      </c>
      <c r="E615">
        <v>133000</v>
      </c>
      <c r="F615">
        <v>133000</v>
      </c>
      <c r="G615" s="1">
        <v>4.4999999999999998E-2</v>
      </c>
      <c r="H615" s="1">
        <v>4.4999999999999998E-2</v>
      </c>
      <c r="I615" s="1">
        <v>4.4999999999999998E-2</v>
      </c>
      <c r="J615" s="1">
        <v>0.46350000000000002</v>
      </c>
    </row>
    <row r="616" spans="1:10" x14ac:dyDescent="0.2">
      <c r="A616" t="str">
        <f>"10/03/2024"</f>
        <v>10/03/2024</v>
      </c>
      <c r="B616">
        <v>1</v>
      </c>
      <c r="C616">
        <v>131000</v>
      </c>
      <c r="D616">
        <v>258928</v>
      </c>
      <c r="E616">
        <v>131000</v>
      </c>
      <c r="F616">
        <v>131000</v>
      </c>
      <c r="G616" s="1">
        <v>4.4999999999999998E-2</v>
      </c>
      <c r="H616" s="1">
        <v>4.4999999999999998E-2</v>
      </c>
      <c r="I616" s="1">
        <v>4.4999999999999998E-2</v>
      </c>
      <c r="J616" s="1">
        <v>0.4647</v>
      </c>
    </row>
    <row r="617" spans="1:10" x14ac:dyDescent="0.2">
      <c r="A617" t="str">
        <f>"07/03/2024"</f>
        <v>07/03/2024</v>
      </c>
      <c r="B617">
        <v>3</v>
      </c>
      <c r="C617">
        <v>132000</v>
      </c>
      <c r="D617">
        <v>257380</v>
      </c>
      <c r="E617">
        <v>132000</v>
      </c>
      <c r="F617">
        <v>132000</v>
      </c>
      <c r="G617" s="1">
        <v>4.4999999999999998E-2</v>
      </c>
      <c r="H617" s="1">
        <v>4.4999999999999998E-2</v>
      </c>
      <c r="I617" s="1">
        <v>4.4999999999999998E-2</v>
      </c>
      <c r="J617" s="1">
        <v>0.48049999999999998</v>
      </c>
    </row>
    <row r="618" spans="1:10" x14ac:dyDescent="0.2">
      <c r="A618" t="str">
        <f>"06/03/2024"</f>
        <v>06/03/2024</v>
      </c>
      <c r="B618">
        <v>1</v>
      </c>
      <c r="C618">
        <v>140000</v>
      </c>
      <c r="D618">
        <v>279054</v>
      </c>
      <c r="E618">
        <v>140000</v>
      </c>
      <c r="F618">
        <v>140000</v>
      </c>
      <c r="G618" s="1">
        <v>4.4999999999999998E-2</v>
      </c>
      <c r="H618" s="1">
        <v>4.4999999999999998E-2</v>
      </c>
      <c r="I618" s="1">
        <v>4.4999999999999998E-2</v>
      </c>
      <c r="J618" s="1">
        <v>0.45839999999999997</v>
      </c>
    </row>
    <row r="619" spans="1:10" x14ac:dyDescent="0.2">
      <c r="A619" t="str">
        <f>"05/03/2024"</f>
        <v>05/03/2024</v>
      </c>
      <c r="B619">
        <v>1</v>
      </c>
      <c r="C619">
        <v>125000</v>
      </c>
      <c r="D619">
        <v>223851</v>
      </c>
      <c r="E619">
        <v>125000</v>
      </c>
      <c r="F619">
        <v>125000</v>
      </c>
      <c r="G619" s="1">
        <v>4.4999999999999998E-2</v>
      </c>
      <c r="H619" s="1">
        <v>4.4999999999999998E-2</v>
      </c>
      <c r="I619" s="1">
        <v>4.4999999999999998E-2</v>
      </c>
      <c r="J619" s="1">
        <v>0.51790000000000003</v>
      </c>
    </row>
    <row r="620" spans="1:10" x14ac:dyDescent="0.2">
      <c r="A620" t="str">
        <f>"04/03/2024"</f>
        <v>04/03/2024</v>
      </c>
      <c r="B620">
        <v>1</v>
      </c>
      <c r="C620">
        <v>127000</v>
      </c>
      <c r="D620">
        <v>231398</v>
      </c>
      <c r="E620">
        <v>127000</v>
      </c>
      <c r="F620">
        <v>127000</v>
      </c>
      <c r="G620" s="1">
        <v>4.4999999999999998E-2</v>
      </c>
      <c r="H620" s="1">
        <v>4.4999999999999998E-2</v>
      </c>
      <c r="I620" s="1">
        <v>4.4999999999999998E-2</v>
      </c>
      <c r="J620" s="1">
        <v>0.51129999999999998</v>
      </c>
    </row>
    <row r="621" spans="1:10" x14ac:dyDescent="0.2">
      <c r="A621" t="str">
        <f>"03/03/2024"</f>
        <v>03/03/2024</v>
      </c>
      <c r="B621">
        <v>1</v>
      </c>
      <c r="C621">
        <v>124000</v>
      </c>
      <c r="D621">
        <v>220426</v>
      </c>
      <c r="E621">
        <v>124000</v>
      </c>
      <c r="F621">
        <v>124000</v>
      </c>
      <c r="G621" s="1">
        <v>4.4999999999999998E-2</v>
      </c>
      <c r="H621" s="1">
        <v>4.4999999999999998E-2</v>
      </c>
      <c r="I621" s="1">
        <v>4.4999999999999998E-2</v>
      </c>
      <c r="J621" s="1">
        <v>0.53059999999999996</v>
      </c>
    </row>
    <row r="622" spans="1:10" x14ac:dyDescent="0.2">
      <c r="A622" t="str">
        <f>"29/02/2024"</f>
        <v>29/02/2024</v>
      </c>
      <c r="B622">
        <v>3</v>
      </c>
      <c r="C622">
        <v>120000</v>
      </c>
      <c r="D622">
        <v>207626</v>
      </c>
      <c r="E622">
        <v>120000</v>
      </c>
      <c r="F622">
        <v>120000</v>
      </c>
      <c r="G622" s="1">
        <v>4.4999999999999998E-2</v>
      </c>
      <c r="H622" s="1">
        <v>4.4999999999999998E-2</v>
      </c>
      <c r="I622" s="1">
        <v>4.4999999999999998E-2</v>
      </c>
      <c r="J622" s="1">
        <v>0.5302</v>
      </c>
    </row>
    <row r="623" spans="1:10" x14ac:dyDescent="0.2">
      <c r="A623" t="str">
        <f>"28/02/2024"</f>
        <v>28/02/2024</v>
      </c>
      <c r="B623">
        <v>1</v>
      </c>
      <c r="C623">
        <v>116000</v>
      </c>
      <c r="D623">
        <v>109793</v>
      </c>
      <c r="E623">
        <v>109793</v>
      </c>
      <c r="F623">
        <v>109793</v>
      </c>
      <c r="G623" s="1">
        <v>4.4999999999999998E-2</v>
      </c>
      <c r="H623" s="1">
        <v>4.4999999999999998E-2</v>
      </c>
      <c r="I623" s="1">
        <v>4.4999999999999998E-2</v>
      </c>
      <c r="J623" s="1">
        <v>1</v>
      </c>
    </row>
    <row r="624" spans="1:10" x14ac:dyDescent="0.2">
      <c r="A624" t="str">
        <f>"26/02/2024"</f>
        <v>26/02/2024</v>
      </c>
      <c r="B624">
        <v>2</v>
      </c>
      <c r="C624">
        <v>111000</v>
      </c>
      <c r="D624">
        <v>184899</v>
      </c>
      <c r="E624">
        <v>111000</v>
      </c>
      <c r="F624">
        <v>111000</v>
      </c>
      <c r="G624" s="1">
        <v>4.4999999999999998E-2</v>
      </c>
      <c r="H624" s="1">
        <v>4.4999999999999998E-2</v>
      </c>
      <c r="I624" s="1">
        <v>4.4999999999999998E-2</v>
      </c>
      <c r="J624" s="1">
        <v>0.52200000000000002</v>
      </c>
    </row>
    <row r="625" spans="1:10" x14ac:dyDescent="0.2">
      <c r="A625" t="str">
        <f>"25/02/2024"</f>
        <v>25/02/2024</v>
      </c>
      <c r="B625">
        <v>1</v>
      </c>
      <c r="C625">
        <v>112000</v>
      </c>
      <c r="D625">
        <v>210907</v>
      </c>
      <c r="E625">
        <v>112000</v>
      </c>
      <c r="F625">
        <v>112000</v>
      </c>
      <c r="G625" s="1">
        <v>4.4999999999999998E-2</v>
      </c>
      <c r="H625" s="1">
        <v>4.4999999999999998E-2</v>
      </c>
      <c r="I625" s="1">
        <v>4.4999999999999998E-2</v>
      </c>
      <c r="J625" s="1">
        <v>0.49330000000000002</v>
      </c>
    </row>
    <row r="626" spans="1:10" x14ac:dyDescent="0.2">
      <c r="A626" t="str">
        <f>"22/02/2024"</f>
        <v>22/02/2024</v>
      </c>
      <c r="B626">
        <v>3</v>
      </c>
      <c r="C626">
        <v>112000</v>
      </c>
      <c r="D626">
        <v>202100</v>
      </c>
      <c r="E626">
        <v>112000</v>
      </c>
      <c r="F626">
        <v>112000</v>
      </c>
      <c r="G626" s="1">
        <v>4.4999999999999998E-2</v>
      </c>
      <c r="H626" s="1">
        <v>4.4999999999999998E-2</v>
      </c>
      <c r="I626" s="1">
        <v>4.4999999999999998E-2</v>
      </c>
      <c r="J626" s="1">
        <v>0.52480000000000004</v>
      </c>
    </row>
    <row r="627" spans="1:10" x14ac:dyDescent="0.2">
      <c r="A627" t="str">
        <f>"21/02/2024"</f>
        <v>21/02/2024</v>
      </c>
      <c r="B627">
        <v>1</v>
      </c>
      <c r="C627">
        <v>112000</v>
      </c>
      <c r="D627">
        <v>208277</v>
      </c>
      <c r="E627">
        <v>112000</v>
      </c>
      <c r="F627">
        <v>112000</v>
      </c>
      <c r="G627" s="1">
        <v>4.4999999999999998E-2</v>
      </c>
      <c r="H627" s="1">
        <v>4.4999999999999998E-2</v>
      </c>
      <c r="I627" s="1">
        <v>4.4999999999999998E-2</v>
      </c>
      <c r="J627" s="1">
        <v>0.49630000000000002</v>
      </c>
    </row>
    <row r="628" spans="1:10" x14ac:dyDescent="0.2">
      <c r="A628" t="str">
        <f>"20/02/2024"</f>
        <v>20/02/2024</v>
      </c>
      <c r="B628">
        <v>1</v>
      </c>
      <c r="C628">
        <v>117000</v>
      </c>
      <c r="D628">
        <v>223560</v>
      </c>
      <c r="E628">
        <v>117000</v>
      </c>
      <c r="F628">
        <v>117000</v>
      </c>
      <c r="G628" s="1">
        <v>4.4999999999999998E-2</v>
      </c>
      <c r="H628" s="1">
        <v>4.4999999999999998E-2</v>
      </c>
      <c r="I628" s="1">
        <v>4.4999999999999998E-2</v>
      </c>
      <c r="J628" s="1">
        <v>0.48509999999999998</v>
      </c>
    </row>
    <row r="629" spans="1:10" x14ac:dyDescent="0.2">
      <c r="A629" t="str">
        <f>"19/02/2024"</f>
        <v>19/02/2024</v>
      </c>
      <c r="B629">
        <v>1</v>
      </c>
      <c r="C629">
        <v>122000</v>
      </c>
      <c r="D629">
        <v>246087</v>
      </c>
      <c r="E629">
        <v>122000</v>
      </c>
      <c r="F629">
        <v>122000</v>
      </c>
      <c r="G629" s="1">
        <v>4.4999999999999998E-2</v>
      </c>
      <c r="H629" s="1">
        <v>4.4999999999999998E-2</v>
      </c>
      <c r="I629" s="1">
        <v>4.4999999999999998E-2</v>
      </c>
      <c r="J629" s="1">
        <v>0.4587</v>
      </c>
    </row>
    <row r="630" spans="1:10" x14ac:dyDescent="0.2">
      <c r="A630" t="str">
        <f>"18/02/2024"</f>
        <v>18/02/2024</v>
      </c>
      <c r="B630">
        <v>1</v>
      </c>
      <c r="C630">
        <v>121000</v>
      </c>
      <c r="D630">
        <v>250079</v>
      </c>
      <c r="E630">
        <v>121000</v>
      </c>
      <c r="F630">
        <v>121000</v>
      </c>
      <c r="G630" s="1">
        <v>4.4999999999999998E-2</v>
      </c>
      <c r="H630" s="1">
        <v>4.4999999999999998E-2</v>
      </c>
      <c r="I630" s="1">
        <v>4.4999999999999998E-2</v>
      </c>
      <c r="J630" s="1">
        <v>0.44650000000000001</v>
      </c>
    </row>
    <row r="631" spans="1:10" x14ac:dyDescent="0.2">
      <c r="A631" t="str">
        <f>"15/02/2024"</f>
        <v>15/02/2024</v>
      </c>
      <c r="B631">
        <v>3</v>
      </c>
      <c r="C631">
        <v>127000</v>
      </c>
      <c r="D631">
        <v>258828</v>
      </c>
      <c r="E631">
        <v>127000</v>
      </c>
      <c r="F631">
        <v>127000</v>
      </c>
      <c r="G631" s="1">
        <v>4.4999999999999998E-2</v>
      </c>
      <c r="H631" s="1">
        <v>4.4999999999999998E-2</v>
      </c>
      <c r="I631" s="1">
        <v>4.4999999999999998E-2</v>
      </c>
      <c r="J631" s="1">
        <v>0.46110000000000001</v>
      </c>
    </row>
    <row r="632" spans="1:10" x14ac:dyDescent="0.2">
      <c r="A632" t="str">
        <f>"14/02/2024"</f>
        <v>14/02/2024</v>
      </c>
      <c r="B632">
        <v>1</v>
      </c>
      <c r="C632">
        <v>128000</v>
      </c>
      <c r="D632">
        <v>270428</v>
      </c>
      <c r="E632">
        <v>128000</v>
      </c>
      <c r="F632">
        <v>128000</v>
      </c>
      <c r="G632" s="1">
        <v>4.4999999999999998E-2</v>
      </c>
      <c r="H632" s="1">
        <v>4.4999999999999998E-2</v>
      </c>
      <c r="I632" s="1">
        <v>4.4999999999999998E-2</v>
      </c>
      <c r="J632" s="1">
        <v>0.43919999999999998</v>
      </c>
    </row>
    <row r="633" spans="1:10" x14ac:dyDescent="0.2">
      <c r="A633" t="str">
        <f>"13/02/2024"</f>
        <v>13/02/2024</v>
      </c>
      <c r="B633">
        <v>1</v>
      </c>
      <c r="C633">
        <v>128000</v>
      </c>
      <c r="D633">
        <v>268844</v>
      </c>
      <c r="E633">
        <v>128000</v>
      </c>
      <c r="F633">
        <v>128000</v>
      </c>
      <c r="G633" s="1">
        <v>4.4999999999999998E-2</v>
      </c>
      <c r="H633" s="1">
        <v>4.4999999999999998E-2</v>
      </c>
      <c r="I633" s="1">
        <v>4.4999999999999998E-2</v>
      </c>
      <c r="J633" s="1">
        <v>0.44230000000000003</v>
      </c>
    </row>
    <row r="634" spans="1:10" x14ac:dyDescent="0.2">
      <c r="A634" t="str">
        <f>"12/02/2024"</f>
        <v>12/02/2024</v>
      </c>
      <c r="B634">
        <v>1</v>
      </c>
      <c r="C634">
        <v>130000</v>
      </c>
      <c r="D634">
        <v>277142</v>
      </c>
      <c r="E634">
        <v>130000</v>
      </c>
      <c r="F634">
        <v>130000</v>
      </c>
      <c r="G634" s="1">
        <v>4.4999999999999998E-2</v>
      </c>
      <c r="H634" s="1">
        <v>4.4999999999999998E-2</v>
      </c>
      <c r="I634" s="1">
        <v>4.4999999999999998E-2</v>
      </c>
      <c r="J634" s="1">
        <v>0.43440000000000001</v>
      </c>
    </row>
    <row r="635" spans="1:10" x14ac:dyDescent="0.2">
      <c r="A635" t="str">
        <f>"11/02/2024"</f>
        <v>11/02/2024</v>
      </c>
      <c r="B635">
        <v>1</v>
      </c>
      <c r="C635">
        <v>129000</v>
      </c>
      <c r="D635">
        <v>279550</v>
      </c>
      <c r="E635">
        <v>129000</v>
      </c>
      <c r="F635">
        <v>129000</v>
      </c>
      <c r="G635" s="1">
        <v>4.4999999999999998E-2</v>
      </c>
      <c r="H635" s="1">
        <v>4.4999999999999998E-2</v>
      </c>
      <c r="I635" s="1">
        <v>4.4999999999999998E-2</v>
      </c>
      <c r="J635" s="1">
        <v>0.42759999999999998</v>
      </c>
    </row>
    <row r="636" spans="1:10" x14ac:dyDescent="0.2">
      <c r="A636" t="str">
        <f>"08/02/2024"</f>
        <v>08/02/2024</v>
      </c>
      <c r="B636">
        <v>3</v>
      </c>
      <c r="C636">
        <v>129000</v>
      </c>
      <c r="D636">
        <v>271979</v>
      </c>
      <c r="E636">
        <v>129000</v>
      </c>
      <c r="F636">
        <v>129000</v>
      </c>
      <c r="G636" s="1">
        <v>4.4999999999999998E-2</v>
      </c>
      <c r="H636" s="1">
        <v>4.4999999999999998E-2</v>
      </c>
      <c r="I636" s="1">
        <v>4.4999999999999998E-2</v>
      </c>
      <c r="J636" s="1">
        <v>0.43909999999999999</v>
      </c>
    </row>
    <row r="637" spans="1:10" x14ac:dyDescent="0.2">
      <c r="A637" t="str">
        <f>"07/02/2024"</f>
        <v>07/02/2024</v>
      </c>
      <c r="B637">
        <v>1</v>
      </c>
      <c r="C637">
        <v>125000</v>
      </c>
      <c r="D637">
        <v>269200</v>
      </c>
      <c r="E637">
        <v>125000</v>
      </c>
      <c r="F637">
        <v>125000</v>
      </c>
      <c r="G637" s="1">
        <v>4.4999999999999998E-2</v>
      </c>
      <c r="H637" s="1">
        <v>4.4999999999999998E-2</v>
      </c>
      <c r="I637" s="1">
        <v>4.4999999999999998E-2</v>
      </c>
      <c r="J637" s="1">
        <v>0.4259</v>
      </c>
    </row>
    <row r="638" spans="1:10" x14ac:dyDescent="0.2">
      <c r="A638" t="str">
        <f>"06/02/2024"</f>
        <v>06/02/2024</v>
      </c>
      <c r="B638">
        <v>1</v>
      </c>
      <c r="C638">
        <v>109000</v>
      </c>
      <c r="D638">
        <v>220899</v>
      </c>
      <c r="E638">
        <v>109000</v>
      </c>
      <c r="F638">
        <v>109000</v>
      </c>
      <c r="G638" s="1">
        <v>4.4999999999999998E-2</v>
      </c>
      <c r="H638" s="1">
        <v>4.4999999999999998E-2</v>
      </c>
      <c r="I638" s="1">
        <v>4.4999999999999998E-2</v>
      </c>
      <c r="J638" s="1">
        <v>0.45140000000000002</v>
      </c>
    </row>
    <row r="639" spans="1:10" x14ac:dyDescent="0.2">
      <c r="A639" t="str">
        <f>"05/02/2024"</f>
        <v>05/02/2024</v>
      </c>
      <c r="B639">
        <v>1</v>
      </c>
      <c r="C639">
        <v>111000</v>
      </c>
      <c r="D639">
        <v>216330</v>
      </c>
      <c r="E639">
        <v>111000</v>
      </c>
      <c r="F639">
        <v>111000</v>
      </c>
      <c r="G639" s="1">
        <v>4.4999999999999998E-2</v>
      </c>
      <c r="H639" s="1">
        <v>4.4999999999999998E-2</v>
      </c>
      <c r="I639" s="1">
        <v>4.4999999999999998E-2</v>
      </c>
      <c r="J639" s="1">
        <v>0.47160000000000002</v>
      </c>
    </row>
    <row r="640" spans="1:10" x14ac:dyDescent="0.2">
      <c r="A640" t="str">
        <f>"04/02/2024"</f>
        <v>04/02/2024</v>
      </c>
      <c r="B640">
        <v>1</v>
      </c>
      <c r="C640">
        <v>111000</v>
      </c>
      <c r="D640">
        <v>216975</v>
      </c>
      <c r="E640">
        <v>111000</v>
      </c>
      <c r="F640">
        <v>111000</v>
      </c>
      <c r="G640" s="1">
        <v>4.4999999999999998E-2</v>
      </c>
      <c r="H640" s="1">
        <v>4.4999999999999998E-2</v>
      </c>
      <c r="I640" s="1">
        <v>4.4999999999999998E-2</v>
      </c>
      <c r="J640" s="1">
        <v>0.47060000000000002</v>
      </c>
    </row>
    <row r="641" spans="1:10" x14ac:dyDescent="0.2">
      <c r="A641" t="str">
        <f>"01/02/2024"</f>
        <v>01/02/2024</v>
      </c>
      <c r="B641">
        <v>3</v>
      </c>
      <c r="C641">
        <v>114000</v>
      </c>
      <c r="D641">
        <v>239977</v>
      </c>
      <c r="E641">
        <v>114000</v>
      </c>
      <c r="F641">
        <v>114000</v>
      </c>
      <c r="G641" s="1">
        <v>4.4999999999999998E-2</v>
      </c>
      <c r="H641" s="1">
        <v>4.4999999999999998E-2</v>
      </c>
      <c r="I641" s="1">
        <v>4.4999999999999998E-2</v>
      </c>
      <c r="J641" s="1">
        <v>0.44319999999999998</v>
      </c>
    </row>
    <row r="642" spans="1:10" x14ac:dyDescent="0.2">
      <c r="A642" t="str">
        <f>"31/01/2024"</f>
        <v>31/01/2024</v>
      </c>
      <c r="B642">
        <v>1</v>
      </c>
      <c r="C642">
        <v>102000</v>
      </c>
      <c r="D642">
        <v>223911</v>
      </c>
      <c r="E642">
        <v>102000</v>
      </c>
      <c r="F642">
        <v>102000</v>
      </c>
      <c r="G642" s="1">
        <v>4.4999999999999998E-2</v>
      </c>
      <c r="H642" s="1">
        <v>4.4999999999999998E-2</v>
      </c>
      <c r="I642" s="1">
        <v>4.4999999999999998E-2</v>
      </c>
      <c r="J642" s="1">
        <v>0.41789999999999999</v>
      </c>
    </row>
    <row r="643" spans="1:10" x14ac:dyDescent="0.2">
      <c r="A643" t="str">
        <f>"30/01/2024"</f>
        <v>30/01/2024</v>
      </c>
      <c r="B643">
        <v>1</v>
      </c>
      <c r="C643">
        <v>101000</v>
      </c>
      <c r="D643">
        <v>232042</v>
      </c>
      <c r="E643">
        <v>101000</v>
      </c>
      <c r="F643">
        <v>101000</v>
      </c>
      <c r="G643" s="1">
        <v>4.4999999999999998E-2</v>
      </c>
      <c r="H643" s="1">
        <v>4.4999999999999998E-2</v>
      </c>
      <c r="I643" s="1">
        <v>4.4999999999999998E-2</v>
      </c>
      <c r="J643" s="1">
        <v>0.39140000000000003</v>
      </c>
    </row>
    <row r="644" spans="1:10" x14ac:dyDescent="0.2">
      <c r="A644" t="str">
        <f>"29/01/2024"</f>
        <v>29/01/2024</v>
      </c>
      <c r="B644">
        <v>1</v>
      </c>
      <c r="C644">
        <v>104000</v>
      </c>
      <c r="D644">
        <v>240098</v>
      </c>
      <c r="E644">
        <v>104000</v>
      </c>
      <c r="F644">
        <v>104000</v>
      </c>
      <c r="G644" s="1">
        <v>4.4999999999999998E-2</v>
      </c>
      <c r="H644" s="1">
        <v>4.4999999999999998E-2</v>
      </c>
      <c r="I644" s="1">
        <v>4.4999999999999998E-2</v>
      </c>
      <c r="J644" s="1">
        <v>0.38879999999999998</v>
      </c>
    </row>
    <row r="645" spans="1:10" x14ac:dyDescent="0.2">
      <c r="A645" t="str">
        <f>"28/01/2024"</f>
        <v>28/01/2024</v>
      </c>
      <c r="B645">
        <v>1</v>
      </c>
      <c r="C645">
        <v>103000</v>
      </c>
      <c r="D645">
        <v>230588</v>
      </c>
      <c r="E645">
        <v>103000</v>
      </c>
      <c r="F645">
        <v>103000</v>
      </c>
      <c r="G645" s="1">
        <v>4.4999999999999998E-2</v>
      </c>
      <c r="H645" s="1">
        <v>4.4999999999999998E-2</v>
      </c>
      <c r="I645" s="1">
        <v>4.4999999999999998E-2</v>
      </c>
      <c r="J645" s="1">
        <v>0.3931</v>
      </c>
    </row>
    <row r="646" spans="1:10" x14ac:dyDescent="0.2">
      <c r="A646" t="str">
        <f>"25/01/2024"</f>
        <v>25/01/2024</v>
      </c>
      <c r="B646">
        <v>3</v>
      </c>
      <c r="C646">
        <v>93000</v>
      </c>
      <c r="D646">
        <v>194652</v>
      </c>
      <c r="E646">
        <v>93000</v>
      </c>
      <c r="F646">
        <v>93000</v>
      </c>
      <c r="G646" s="1">
        <v>4.4999999999999998E-2</v>
      </c>
      <c r="H646" s="1">
        <v>4.4999999999999998E-2</v>
      </c>
      <c r="I646" s="1">
        <v>4.4999999999999998E-2</v>
      </c>
      <c r="J646" s="1">
        <v>0.43709999999999999</v>
      </c>
    </row>
    <row r="647" spans="1:10" x14ac:dyDescent="0.2">
      <c r="A647" t="str">
        <f>"24/01/2024"</f>
        <v>24/01/2024</v>
      </c>
      <c r="B647">
        <v>1</v>
      </c>
      <c r="C647">
        <v>82000</v>
      </c>
      <c r="D647">
        <v>179415</v>
      </c>
      <c r="E647">
        <v>82000</v>
      </c>
      <c r="F647">
        <v>82000</v>
      </c>
      <c r="G647" s="1">
        <v>4.4999999999999998E-2</v>
      </c>
      <c r="H647" s="1">
        <v>4.4999999999999998E-2</v>
      </c>
      <c r="I647" s="1">
        <v>4.4999999999999998E-2</v>
      </c>
      <c r="J647" s="1">
        <v>0.40479999999999999</v>
      </c>
    </row>
    <row r="648" spans="1:10" x14ac:dyDescent="0.2">
      <c r="A648" t="str">
        <f>"23/01/2024"</f>
        <v>23/01/2024</v>
      </c>
      <c r="B648">
        <v>1</v>
      </c>
      <c r="C648">
        <v>85000</v>
      </c>
      <c r="D648">
        <v>192889</v>
      </c>
      <c r="E648">
        <v>85000</v>
      </c>
      <c r="F648">
        <v>85000</v>
      </c>
      <c r="G648" s="1">
        <v>4.4999999999999998E-2</v>
      </c>
      <c r="H648" s="1">
        <v>4.4999999999999998E-2</v>
      </c>
      <c r="I648" s="1">
        <v>4.4999999999999998E-2</v>
      </c>
      <c r="J648" s="1">
        <v>0.39269999999999999</v>
      </c>
    </row>
    <row r="649" spans="1:10" x14ac:dyDescent="0.2">
      <c r="A649" t="str">
        <f>"22/01/2024"</f>
        <v>22/01/2024</v>
      </c>
      <c r="B649">
        <v>1</v>
      </c>
      <c r="C649">
        <v>89000</v>
      </c>
      <c r="D649">
        <v>196526</v>
      </c>
      <c r="E649">
        <v>89000</v>
      </c>
      <c r="F649">
        <v>89000</v>
      </c>
      <c r="G649" s="1">
        <v>4.4999999999999998E-2</v>
      </c>
      <c r="H649" s="1">
        <v>4.4999999999999998E-2</v>
      </c>
      <c r="I649" s="1">
        <v>4.4999999999999998E-2</v>
      </c>
      <c r="J649" s="1">
        <v>0.40400000000000003</v>
      </c>
    </row>
    <row r="650" spans="1:10" x14ac:dyDescent="0.2">
      <c r="A650" t="str">
        <f>"21/01/2024"</f>
        <v>21/01/2024</v>
      </c>
      <c r="B650">
        <v>1</v>
      </c>
      <c r="C650">
        <v>95000</v>
      </c>
      <c r="D650">
        <v>200685</v>
      </c>
      <c r="E650">
        <v>95000</v>
      </c>
      <c r="F650">
        <v>95000</v>
      </c>
      <c r="G650" s="1">
        <v>4.4999999999999998E-2</v>
      </c>
      <c r="H650" s="1">
        <v>4.4999999999999998E-2</v>
      </c>
      <c r="I650" s="1">
        <v>4.4999999999999998E-2</v>
      </c>
      <c r="J650" s="1">
        <v>0.4259</v>
      </c>
    </row>
    <row r="651" spans="1:10" x14ac:dyDescent="0.2">
      <c r="A651" t="str">
        <f>"18/01/2024"</f>
        <v>18/01/2024</v>
      </c>
      <c r="B651">
        <v>3</v>
      </c>
      <c r="C651">
        <v>97000</v>
      </c>
      <c r="D651">
        <v>224172</v>
      </c>
      <c r="E651">
        <v>97000</v>
      </c>
      <c r="F651">
        <v>97000</v>
      </c>
      <c r="G651" s="1">
        <v>4.4999999999999998E-2</v>
      </c>
      <c r="H651" s="1">
        <v>4.4999999999999998E-2</v>
      </c>
      <c r="I651" s="1">
        <v>4.4999999999999998E-2</v>
      </c>
      <c r="J651" s="1">
        <v>0.39050000000000001</v>
      </c>
    </row>
    <row r="652" spans="1:10" x14ac:dyDescent="0.2">
      <c r="A652" t="str">
        <f>"17/01/2024"</f>
        <v>17/01/2024</v>
      </c>
      <c r="B652">
        <v>1</v>
      </c>
      <c r="C652">
        <v>100000</v>
      </c>
      <c r="D652">
        <v>240777</v>
      </c>
      <c r="E652">
        <v>100000</v>
      </c>
      <c r="F652">
        <v>100000</v>
      </c>
      <c r="G652" s="1">
        <v>4.4999999999999998E-2</v>
      </c>
      <c r="H652" s="1">
        <v>4.4999999999999998E-2</v>
      </c>
      <c r="I652" s="1">
        <v>4.4999999999999998E-2</v>
      </c>
      <c r="J652" s="1">
        <v>0.37109999999999999</v>
      </c>
    </row>
    <row r="653" spans="1:10" x14ac:dyDescent="0.2">
      <c r="A653" t="str">
        <f>"16/01/2024"</f>
        <v>16/01/2024</v>
      </c>
      <c r="B653">
        <v>1</v>
      </c>
      <c r="C653">
        <v>101000</v>
      </c>
      <c r="D653">
        <v>252215</v>
      </c>
      <c r="E653">
        <v>101000</v>
      </c>
      <c r="F653">
        <v>101000</v>
      </c>
      <c r="G653" s="1">
        <v>4.4999999999999998E-2</v>
      </c>
      <c r="H653" s="1">
        <v>4.4999999999999998E-2</v>
      </c>
      <c r="I653" s="1">
        <v>4.4999999999999998E-2</v>
      </c>
      <c r="J653" s="1">
        <v>0.35759999999999997</v>
      </c>
    </row>
    <row r="654" spans="1:10" x14ac:dyDescent="0.2">
      <c r="A654" t="str">
        <f>"15/01/2024"</f>
        <v>15/01/2024</v>
      </c>
      <c r="B654">
        <v>1</v>
      </c>
      <c r="C654">
        <v>112000</v>
      </c>
      <c r="D654">
        <v>279120</v>
      </c>
      <c r="E654">
        <v>112000</v>
      </c>
      <c r="F654">
        <v>112000</v>
      </c>
      <c r="G654" s="1">
        <v>4.4999999999999998E-2</v>
      </c>
      <c r="H654" s="1">
        <v>4.4999999999999998E-2</v>
      </c>
      <c r="I654" s="1">
        <v>4.4999999999999998E-2</v>
      </c>
      <c r="J654" s="1">
        <v>0.3589</v>
      </c>
    </row>
    <row r="655" spans="1:10" x14ac:dyDescent="0.2">
      <c r="A655" t="str">
        <f>"14/01/2024"</f>
        <v>14/01/2024</v>
      </c>
      <c r="B655">
        <v>1</v>
      </c>
      <c r="C655">
        <v>110000</v>
      </c>
      <c r="D655">
        <v>276672</v>
      </c>
      <c r="E655">
        <v>110000</v>
      </c>
      <c r="F655">
        <v>110000</v>
      </c>
      <c r="G655" s="1">
        <v>4.4999999999999998E-2</v>
      </c>
      <c r="H655" s="1">
        <v>4.4999999999999998E-2</v>
      </c>
      <c r="I655" s="1">
        <v>4.4999999999999998E-2</v>
      </c>
      <c r="J655" s="1">
        <v>0.35620000000000002</v>
      </c>
    </row>
    <row r="656" spans="1:10" x14ac:dyDescent="0.2">
      <c r="A656" t="str">
        <f>"11/01/2024"</f>
        <v>11/01/2024</v>
      </c>
      <c r="B656">
        <v>3</v>
      </c>
      <c r="C656">
        <v>109000</v>
      </c>
      <c r="D656">
        <v>271730</v>
      </c>
      <c r="E656">
        <v>109000</v>
      </c>
      <c r="F656">
        <v>109000</v>
      </c>
      <c r="G656" s="1">
        <v>4.4999999999999998E-2</v>
      </c>
      <c r="H656" s="1">
        <v>4.4999999999999998E-2</v>
      </c>
      <c r="I656" s="1">
        <v>4.4999999999999998E-2</v>
      </c>
      <c r="J656" s="1">
        <v>0.35759999999999997</v>
      </c>
    </row>
    <row r="657" spans="1:10" x14ac:dyDescent="0.2">
      <c r="A657" t="str">
        <f>"10/01/2024"</f>
        <v>10/01/2024</v>
      </c>
      <c r="B657">
        <v>1</v>
      </c>
      <c r="C657">
        <v>109000</v>
      </c>
      <c r="D657">
        <v>293897</v>
      </c>
      <c r="E657">
        <v>109000</v>
      </c>
      <c r="F657">
        <v>109000</v>
      </c>
      <c r="G657" s="1">
        <v>4.4999999999999998E-2</v>
      </c>
      <c r="H657" s="1">
        <v>4.4999999999999998E-2</v>
      </c>
      <c r="I657" s="1">
        <v>4.4999999999999998E-2</v>
      </c>
      <c r="J657" s="1">
        <v>0.31219999999999998</v>
      </c>
    </row>
    <row r="658" spans="1:10" x14ac:dyDescent="0.2">
      <c r="A658" t="str">
        <f>"09/01/2024"</f>
        <v>09/01/2024</v>
      </c>
      <c r="B658">
        <v>1</v>
      </c>
      <c r="C658">
        <v>108000</v>
      </c>
      <c r="D658">
        <v>293608</v>
      </c>
      <c r="E658">
        <v>108000</v>
      </c>
      <c r="F658">
        <v>108000</v>
      </c>
      <c r="G658" s="1">
        <v>4.4999999999999998E-2</v>
      </c>
      <c r="H658" s="1">
        <v>4.4999999999999998E-2</v>
      </c>
      <c r="I658" s="1">
        <v>4.4999999999999998E-2</v>
      </c>
      <c r="J658" s="1">
        <v>0.31509999999999999</v>
      </c>
    </row>
    <row r="659" spans="1:10" x14ac:dyDescent="0.2">
      <c r="A659" t="str">
        <f>"08/01/2024"</f>
        <v>08/01/2024</v>
      </c>
      <c r="B659">
        <v>1</v>
      </c>
      <c r="C659">
        <v>110000</v>
      </c>
      <c r="D659">
        <v>303371</v>
      </c>
      <c r="E659">
        <v>110000</v>
      </c>
      <c r="F659">
        <v>110000</v>
      </c>
      <c r="G659" s="1">
        <v>4.4999999999999998E-2</v>
      </c>
      <c r="H659" s="1">
        <v>4.4999999999999998E-2</v>
      </c>
      <c r="I659" s="1">
        <v>4.4999999999999998E-2</v>
      </c>
      <c r="J659" s="1">
        <v>0.30080000000000001</v>
      </c>
    </row>
    <row r="660" spans="1:10" x14ac:dyDescent="0.2">
      <c r="A660" t="str">
        <f>"07/01/2024"</f>
        <v>07/01/2024</v>
      </c>
      <c r="B660">
        <v>1</v>
      </c>
      <c r="C660">
        <v>108000</v>
      </c>
      <c r="D660">
        <v>307356</v>
      </c>
      <c r="E660">
        <v>108000</v>
      </c>
      <c r="F660">
        <v>108000</v>
      </c>
      <c r="G660" s="1">
        <v>4.4999999999999998E-2</v>
      </c>
      <c r="H660" s="1">
        <v>4.4999999999999998E-2</v>
      </c>
      <c r="I660" s="1">
        <v>4.4999999999999998E-2</v>
      </c>
      <c r="J660" s="1">
        <v>0.29360000000000003</v>
      </c>
    </row>
    <row r="661" spans="1:10" x14ac:dyDescent="0.2">
      <c r="A661" t="str">
        <f>"04/01/2024"</f>
        <v>04/01/2024</v>
      </c>
      <c r="B661">
        <v>3</v>
      </c>
      <c r="C661">
        <v>104000</v>
      </c>
      <c r="D661">
        <v>238508</v>
      </c>
      <c r="E661">
        <v>104000</v>
      </c>
      <c r="F661">
        <v>104000</v>
      </c>
      <c r="G661" s="1">
        <v>4.4999999999999998E-2</v>
      </c>
      <c r="H661" s="1">
        <v>4.4999999999999998E-2</v>
      </c>
      <c r="I661" s="1">
        <v>4.4999999999999998E-2</v>
      </c>
      <c r="J661" s="1">
        <v>0.37340000000000001</v>
      </c>
    </row>
    <row r="662" spans="1:10" x14ac:dyDescent="0.2">
      <c r="A662" t="str">
        <f>"03/01/2024"</f>
        <v>03/01/2024</v>
      </c>
      <c r="B662">
        <v>1</v>
      </c>
      <c r="C662">
        <v>111000</v>
      </c>
      <c r="D662">
        <v>104178</v>
      </c>
      <c r="E662">
        <v>104178</v>
      </c>
      <c r="F662">
        <v>104178</v>
      </c>
      <c r="G662" s="1">
        <v>4.7500000000000001E-2</v>
      </c>
      <c r="H662" s="1">
        <v>4.7500000000000001E-2</v>
      </c>
      <c r="I662" s="1">
        <v>4.7500000000000001E-2</v>
      </c>
      <c r="J662" s="1">
        <v>1</v>
      </c>
    </row>
    <row r="663" spans="1:10" x14ac:dyDescent="0.2">
      <c r="A663" t="str">
        <f>"02/01/2024"</f>
        <v>02/01/2024</v>
      </c>
      <c r="B663">
        <v>1</v>
      </c>
      <c r="C663">
        <v>94000</v>
      </c>
      <c r="D663">
        <v>238447</v>
      </c>
      <c r="E663">
        <v>94000</v>
      </c>
      <c r="F663">
        <v>94000</v>
      </c>
      <c r="G663" s="1">
        <v>4.7500000000000001E-2</v>
      </c>
      <c r="H663" s="1">
        <v>4.7500000000000001E-2</v>
      </c>
      <c r="I663" s="1">
        <v>4.7500000000000001E-2</v>
      </c>
      <c r="J663" s="1">
        <v>0.29909999999999998</v>
      </c>
    </row>
    <row r="664" spans="1:10" x14ac:dyDescent="0.2">
      <c r="A664" t="str">
        <f>"01/01/2024"</f>
        <v>01/01/2024</v>
      </c>
      <c r="B664">
        <v>1</v>
      </c>
      <c r="C664">
        <v>97000</v>
      </c>
      <c r="D664">
        <v>268820</v>
      </c>
      <c r="E664">
        <v>97000</v>
      </c>
      <c r="F664">
        <v>97000</v>
      </c>
      <c r="G664" s="1">
        <v>4.7500000000000001E-2</v>
      </c>
      <c r="H664" s="1">
        <v>4.7500000000000001E-2</v>
      </c>
      <c r="I664" s="1">
        <v>4.7500000000000001E-2</v>
      </c>
      <c r="J664" s="1">
        <v>0.28489999999999999</v>
      </c>
    </row>
    <row r="665" spans="1:10" x14ac:dyDescent="0.2">
      <c r="A665" t="str">
        <f>"31/12/2023"</f>
        <v>31/12/2023</v>
      </c>
      <c r="B665">
        <v>1</v>
      </c>
      <c r="C665">
        <v>90000</v>
      </c>
      <c r="D665">
        <v>239522</v>
      </c>
      <c r="E665">
        <v>90000</v>
      </c>
      <c r="F665">
        <v>90000</v>
      </c>
      <c r="G665" s="1">
        <v>4.7500000000000001E-2</v>
      </c>
      <c r="H665" s="1">
        <v>4.7500000000000001E-2</v>
      </c>
      <c r="I665" s="1">
        <v>4.7500000000000001E-2</v>
      </c>
      <c r="J665" s="1">
        <v>0.30659999999999998</v>
      </c>
    </row>
    <row r="666" spans="1:10" x14ac:dyDescent="0.2">
      <c r="A666" t="str">
        <f>"28/12/2023"</f>
        <v>28/12/2023</v>
      </c>
      <c r="B666">
        <v>3</v>
      </c>
      <c r="C666">
        <v>85000</v>
      </c>
      <c r="D666">
        <v>221303</v>
      </c>
      <c r="E666">
        <v>85000</v>
      </c>
      <c r="F666">
        <v>85000</v>
      </c>
      <c r="G666" s="1">
        <v>4.7500000000000001E-2</v>
      </c>
      <c r="H666" s="1">
        <v>4.7500000000000001E-2</v>
      </c>
      <c r="I666" s="1">
        <v>4.7500000000000001E-2</v>
      </c>
      <c r="J666" s="1">
        <v>0.31259999999999999</v>
      </c>
    </row>
    <row r="667" spans="1:10" x14ac:dyDescent="0.2">
      <c r="A667" t="str">
        <f>"27/12/2023"</f>
        <v>27/12/2023</v>
      </c>
      <c r="B667">
        <v>1</v>
      </c>
      <c r="C667">
        <v>80000</v>
      </c>
      <c r="D667">
        <v>241498</v>
      </c>
      <c r="E667">
        <v>80000</v>
      </c>
      <c r="F667">
        <v>80000</v>
      </c>
      <c r="G667" s="1">
        <v>4.7500000000000001E-2</v>
      </c>
      <c r="H667" s="1">
        <v>4.7500000000000001E-2</v>
      </c>
      <c r="I667" s="1">
        <v>4.7500000000000001E-2</v>
      </c>
      <c r="J667" s="1">
        <v>0.28710000000000002</v>
      </c>
    </row>
    <row r="668" spans="1:10" x14ac:dyDescent="0.2">
      <c r="A668" t="str">
        <f>"26/12/2023"</f>
        <v>26/12/2023</v>
      </c>
      <c r="B668">
        <v>1</v>
      </c>
      <c r="C668">
        <v>82000</v>
      </c>
      <c r="D668">
        <v>227631</v>
      </c>
      <c r="E668">
        <v>82000</v>
      </c>
      <c r="F668">
        <v>82000</v>
      </c>
      <c r="G668" s="1">
        <v>4.7500000000000001E-2</v>
      </c>
      <c r="H668" s="1">
        <v>4.7500000000000001E-2</v>
      </c>
      <c r="I668" s="1">
        <v>4.7500000000000001E-2</v>
      </c>
      <c r="J668" s="1">
        <v>0.29730000000000001</v>
      </c>
    </row>
    <row r="669" spans="1:10" x14ac:dyDescent="0.2">
      <c r="A669" t="str">
        <f>"25/12/2023"</f>
        <v>25/12/2023</v>
      </c>
      <c r="B669">
        <v>1</v>
      </c>
      <c r="C669">
        <v>79000</v>
      </c>
      <c r="D669">
        <v>241238</v>
      </c>
      <c r="E669">
        <v>79000</v>
      </c>
      <c r="F669">
        <v>79000</v>
      </c>
      <c r="G669" s="1">
        <v>4.7500000000000001E-2</v>
      </c>
      <c r="H669" s="1">
        <v>4.7500000000000001E-2</v>
      </c>
      <c r="I669" s="1">
        <v>4.7500000000000001E-2</v>
      </c>
      <c r="J669" s="1">
        <v>0.26840000000000003</v>
      </c>
    </row>
    <row r="670" spans="1:10" x14ac:dyDescent="0.2">
      <c r="A670" t="str">
        <f>"24/12/2023"</f>
        <v>24/12/2023</v>
      </c>
      <c r="B670">
        <v>1</v>
      </c>
      <c r="C670">
        <v>77000</v>
      </c>
      <c r="D670">
        <v>232530</v>
      </c>
      <c r="E670">
        <v>77000</v>
      </c>
      <c r="F670">
        <v>77000</v>
      </c>
      <c r="G670" s="1">
        <v>4.7500000000000001E-2</v>
      </c>
      <c r="H670" s="1">
        <v>4.7500000000000001E-2</v>
      </c>
      <c r="I670" s="1">
        <v>4.7500000000000001E-2</v>
      </c>
      <c r="J670" s="1">
        <v>0.2777</v>
      </c>
    </row>
    <row r="671" spans="1:10" x14ac:dyDescent="0.2">
      <c r="A671" t="str">
        <f>"21/12/2023"</f>
        <v>21/12/2023</v>
      </c>
      <c r="B671">
        <v>3</v>
      </c>
      <c r="C671">
        <v>78000</v>
      </c>
      <c r="D671">
        <v>223552</v>
      </c>
      <c r="E671">
        <v>78000</v>
      </c>
      <c r="F671">
        <v>78000</v>
      </c>
      <c r="G671" s="1">
        <v>4.7500000000000001E-2</v>
      </c>
      <c r="H671" s="1">
        <v>4.7500000000000001E-2</v>
      </c>
      <c r="I671" s="1">
        <v>4.7500000000000001E-2</v>
      </c>
      <c r="J671" s="1">
        <v>0.28470000000000001</v>
      </c>
    </row>
    <row r="672" spans="1:10" x14ac:dyDescent="0.2">
      <c r="A672" t="str">
        <f>"20/12/2023"</f>
        <v>20/12/2023</v>
      </c>
      <c r="B672">
        <v>1</v>
      </c>
      <c r="C672">
        <v>73000</v>
      </c>
      <c r="D672">
        <v>227898</v>
      </c>
      <c r="E672">
        <v>73000</v>
      </c>
      <c r="F672">
        <v>73000</v>
      </c>
      <c r="G672" s="1">
        <v>4.7500000000000001E-2</v>
      </c>
      <c r="H672" s="1">
        <v>4.7500000000000001E-2</v>
      </c>
      <c r="I672" s="1">
        <v>4.7500000000000001E-2</v>
      </c>
      <c r="J672" s="1">
        <v>0.24890000000000001</v>
      </c>
    </row>
    <row r="673" spans="1:10" x14ac:dyDescent="0.2">
      <c r="A673" t="str">
        <f>"19/12/2023"</f>
        <v>19/12/2023</v>
      </c>
      <c r="B673">
        <v>1</v>
      </c>
      <c r="C673">
        <v>75000</v>
      </c>
      <c r="D673">
        <v>258441</v>
      </c>
      <c r="E673">
        <v>75000</v>
      </c>
      <c r="F673">
        <v>75000</v>
      </c>
      <c r="G673" s="1">
        <v>4.7500000000000001E-2</v>
      </c>
      <c r="H673" s="1">
        <v>4.7500000000000001E-2</v>
      </c>
      <c r="I673" s="1">
        <v>4.7500000000000001E-2</v>
      </c>
      <c r="J673" s="1">
        <v>0.23380000000000001</v>
      </c>
    </row>
    <row r="674" spans="1:10" x14ac:dyDescent="0.2">
      <c r="A674" t="str">
        <f>"18/12/2023"</f>
        <v>18/12/2023</v>
      </c>
      <c r="B674">
        <v>1</v>
      </c>
      <c r="C674">
        <v>77000</v>
      </c>
      <c r="D674">
        <v>260176</v>
      </c>
      <c r="E674">
        <v>77000</v>
      </c>
      <c r="F674">
        <v>77000</v>
      </c>
      <c r="G674" s="1">
        <v>4.7500000000000001E-2</v>
      </c>
      <c r="H674" s="1">
        <v>4.7500000000000001E-2</v>
      </c>
      <c r="I674" s="1">
        <v>4.7500000000000001E-2</v>
      </c>
      <c r="J674" s="1">
        <v>0.23499999999999999</v>
      </c>
    </row>
    <row r="675" spans="1:10" x14ac:dyDescent="0.2">
      <c r="A675" t="str">
        <f>"17/12/2023"</f>
        <v>17/12/2023</v>
      </c>
      <c r="B675">
        <v>1</v>
      </c>
      <c r="C675">
        <v>77000</v>
      </c>
      <c r="D675">
        <v>243505</v>
      </c>
      <c r="E675">
        <v>77000</v>
      </c>
      <c r="F675">
        <v>77000</v>
      </c>
      <c r="G675" s="1">
        <v>4.7500000000000001E-2</v>
      </c>
      <c r="H675" s="1">
        <v>4.7500000000000001E-2</v>
      </c>
      <c r="I675" s="1">
        <v>4.7500000000000001E-2</v>
      </c>
      <c r="J675" s="1">
        <v>0.25569999999999998</v>
      </c>
    </row>
    <row r="676" spans="1:10" x14ac:dyDescent="0.2">
      <c r="A676" t="str">
        <f>"14/12/2023"</f>
        <v>14/12/2023</v>
      </c>
      <c r="B676">
        <v>3</v>
      </c>
      <c r="C676">
        <v>83000</v>
      </c>
      <c r="D676">
        <v>252132</v>
      </c>
      <c r="E676">
        <v>83000</v>
      </c>
      <c r="F676">
        <v>83000</v>
      </c>
      <c r="G676" s="1">
        <v>4.7500000000000001E-2</v>
      </c>
      <c r="H676" s="1">
        <v>4.7500000000000001E-2</v>
      </c>
      <c r="I676" s="1">
        <v>4.7500000000000001E-2</v>
      </c>
      <c r="J676" s="1">
        <v>0.26650000000000001</v>
      </c>
    </row>
    <row r="677" spans="1:10" x14ac:dyDescent="0.2">
      <c r="A677" t="str">
        <f>"13/12/2023"</f>
        <v>13/12/2023</v>
      </c>
      <c r="B677">
        <v>1</v>
      </c>
      <c r="C677">
        <v>86000</v>
      </c>
      <c r="D677">
        <v>280955</v>
      </c>
      <c r="E677">
        <v>86000</v>
      </c>
      <c r="F677">
        <v>86000</v>
      </c>
      <c r="G677" s="1">
        <v>4.7500000000000001E-2</v>
      </c>
      <c r="H677" s="1">
        <v>4.7500000000000001E-2</v>
      </c>
      <c r="I677" s="1">
        <v>4.7500000000000001E-2</v>
      </c>
      <c r="J677" s="1">
        <v>0.2364</v>
      </c>
    </row>
    <row r="678" spans="1:10" x14ac:dyDescent="0.2">
      <c r="A678" t="str">
        <f>"12/12/2023"</f>
        <v>12/12/2023</v>
      </c>
      <c r="B678">
        <v>1</v>
      </c>
      <c r="C678">
        <v>87000</v>
      </c>
      <c r="D678">
        <v>305219</v>
      </c>
      <c r="E678">
        <v>87000</v>
      </c>
      <c r="F678">
        <v>87000</v>
      </c>
      <c r="G678" s="1">
        <v>4.7500000000000001E-2</v>
      </c>
      <c r="H678" s="1">
        <v>4.7500000000000001E-2</v>
      </c>
      <c r="I678" s="1">
        <v>4.7500000000000001E-2</v>
      </c>
      <c r="J678" s="1">
        <v>0.21640000000000001</v>
      </c>
    </row>
    <row r="679" spans="1:10" x14ac:dyDescent="0.2">
      <c r="A679" t="str">
        <f>"11/12/2023"</f>
        <v>11/12/2023</v>
      </c>
      <c r="B679">
        <v>1</v>
      </c>
      <c r="C679">
        <v>91000</v>
      </c>
      <c r="D679">
        <v>321401</v>
      </c>
      <c r="E679">
        <v>91000</v>
      </c>
      <c r="F679">
        <v>91000</v>
      </c>
      <c r="G679" s="1">
        <v>4.7500000000000001E-2</v>
      </c>
      <c r="H679" s="1">
        <v>4.7500000000000001E-2</v>
      </c>
      <c r="I679" s="1">
        <v>4.7500000000000001E-2</v>
      </c>
      <c r="J679" s="1">
        <v>0.21640000000000001</v>
      </c>
    </row>
    <row r="680" spans="1:10" x14ac:dyDescent="0.2">
      <c r="A680" t="str">
        <f>"10/12/2023"</f>
        <v>10/12/2023</v>
      </c>
      <c r="B680">
        <v>1</v>
      </c>
      <c r="C680">
        <v>91000</v>
      </c>
      <c r="D680">
        <v>299068</v>
      </c>
      <c r="E680">
        <v>91000</v>
      </c>
      <c r="F680">
        <v>91000</v>
      </c>
      <c r="G680" s="1">
        <v>4.7500000000000001E-2</v>
      </c>
      <c r="H680" s="1">
        <v>4.7500000000000001E-2</v>
      </c>
      <c r="I680" s="1">
        <v>4.7500000000000001E-2</v>
      </c>
      <c r="J680" s="1">
        <v>0.2349</v>
      </c>
    </row>
    <row r="681" spans="1:10" x14ac:dyDescent="0.2">
      <c r="A681" t="str">
        <f>"07/12/2023"</f>
        <v>07/12/2023</v>
      </c>
      <c r="B681">
        <v>3</v>
      </c>
      <c r="C681">
        <v>93000</v>
      </c>
      <c r="D681">
        <v>341233</v>
      </c>
      <c r="E681">
        <v>93000</v>
      </c>
      <c r="F681">
        <v>93000</v>
      </c>
      <c r="G681" s="1">
        <v>4.7500000000000001E-2</v>
      </c>
      <c r="H681" s="1">
        <v>4.7500000000000001E-2</v>
      </c>
      <c r="I681" s="1">
        <v>4.7500000000000001E-2</v>
      </c>
      <c r="J681" s="1">
        <v>0.2225</v>
      </c>
    </row>
    <row r="682" spans="1:10" x14ac:dyDescent="0.2">
      <c r="A682" t="str">
        <f>"06/12/2023"</f>
        <v>06/12/2023</v>
      </c>
      <c r="B682">
        <v>1</v>
      </c>
      <c r="C682">
        <v>91000</v>
      </c>
      <c r="D682">
        <v>318268</v>
      </c>
      <c r="E682">
        <v>91000</v>
      </c>
      <c r="F682">
        <v>91000</v>
      </c>
      <c r="G682" s="1">
        <v>4.7500000000000001E-2</v>
      </c>
      <c r="H682" s="1">
        <v>4.7500000000000001E-2</v>
      </c>
      <c r="I682" s="1">
        <v>4.7500000000000001E-2</v>
      </c>
      <c r="J682" s="1">
        <v>0.2094</v>
      </c>
    </row>
    <row r="683" spans="1:10" x14ac:dyDescent="0.2">
      <c r="A683" t="str">
        <f>"05/12/2023"</f>
        <v>05/12/2023</v>
      </c>
      <c r="B683">
        <v>1</v>
      </c>
      <c r="C683">
        <v>76000</v>
      </c>
      <c r="D683">
        <v>239049</v>
      </c>
      <c r="E683">
        <v>76000</v>
      </c>
      <c r="F683">
        <v>76000</v>
      </c>
      <c r="G683" s="1">
        <v>4.7500000000000001E-2</v>
      </c>
      <c r="H683" s="1">
        <v>4.7500000000000001E-2</v>
      </c>
      <c r="I683" s="1">
        <v>4.7500000000000001E-2</v>
      </c>
      <c r="J683" s="1">
        <v>0.2477</v>
      </c>
    </row>
    <row r="684" spans="1:10" x14ac:dyDescent="0.2">
      <c r="A684" t="str">
        <f>"04/12/2023"</f>
        <v>04/12/2023</v>
      </c>
      <c r="B684">
        <v>1</v>
      </c>
      <c r="C684">
        <v>76000</v>
      </c>
      <c r="D684">
        <v>208928</v>
      </c>
      <c r="E684">
        <v>76000</v>
      </c>
      <c r="F684">
        <v>76000</v>
      </c>
      <c r="G684" s="1">
        <v>4.7500000000000001E-2</v>
      </c>
      <c r="H684" s="1">
        <v>4.7500000000000001E-2</v>
      </c>
      <c r="I684" s="1">
        <v>4.7500000000000001E-2</v>
      </c>
      <c r="J684" s="1">
        <v>0.26910000000000001</v>
      </c>
    </row>
    <row r="685" spans="1:10" x14ac:dyDescent="0.2">
      <c r="A685" t="str">
        <f>"03/12/2023"</f>
        <v>03/12/2023</v>
      </c>
      <c r="B685">
        <v>1</v>
      </c>
      <c r="C685">
        <v>74000</v>
      </c>
      <c r="D685">
        <v>195405</v>
      </c>
      <c r="E685">
        <v>74000</v>
      </c>
      <c r="F685">
        <v>74000</v>
      </c>
      <c r="G685" s="1">
        <v>4.7500000000000001E-2</v>
      </c>
      <c r="H685" s="1">
        <v>4.7500000000000001E-2</v>
      </c>
      <c r="I685" s="1">
        <v>4.7500000000000001E-2</v>
      </c>
      <c r="J685" s="1">
        <v>0.28620000000000001</v>
      </c>
    </row>
    <row r="686" spans="1:10" x14ac:dyDescent="0.2">
      <c r="A686" t="str">
        <f>"30/11/2023"</f>
        <v>30/11/2023</v>
      </c>
      <c r="B686">
        <v>3</v>
      </c>
      <c r="C686">
        <v>67000</v>
      </c>
      <c r="D686">
        <v>140350</v>
      </c>
      <c r="E686">
        <v>67000</v>
      </c>
      <c r="F686">
        <v>67000</v>
      </c>
      <c r="G686" s="1">
        <v>4.7500000000000001E-2</v>
      </c>
      <c r="H686" s="1">
        <v>4.7500000000000001E-2</v>
      </c>
      <c r="I686" s="1">
        <v>4.7500000000000001E-2</v>
      </c>
      <c r="J686" s="1">
        <v>0.38019999999999998</v>
      </c>
    </row>
    <row r="687" spans="1:10" x14ac:dyDescent="0.2">
      <c r="A687" t="str">
        <f>"29/11/2023"</f>
        <v>29/11/2023</v>
      </c>
      <c r="B687">
        <v>1</v>
      </c>
      <c r="C687">
        <v>47000</v>
      </c>
      <c r="D687">
        <v>41297</v>
      </c>
      <c r="E687">
        <v>41297</v>
      </c>
      <c r="F687">
        <v>41297</v>
      </c>
      <c r="G687" s="1">
        <v>4.7500000000000001E-2</v>
      </c>
      <c r="H687" s="1">
        <v>4.7399999999999998E-2</v>
      </c>
      <c r="I687" s="1">
        <v>4.7399999999999998E-2</v>
      </c>
      <c r="J687" s="1">
        <v>1</v>
      </c>
    </row>
    <row r="688" spans="1:10" x14ac:dyDescent="0.2">
      <c r="A688" t="str">
        <f>"28/11/2023"</f>
        <v>28/11/2023</v>
      </c>
      <c r="B688">
        <v>1</v>
      </c>
      <c r="C688">
        <v>56000</v>
      </c>
      <c r="D688">
        <v>101627</v>
      </c>
      <c r="E688">
        <v>56000</v>
      </c>
      <c r="F688">
        <v>56000</v>
      </c>
      <c r="G688" s="1">
        <v>4.7500000000000001E-2</v>
      </c>
      <c r="H688" s="1">
        <v>4.7500000000000001E-2</v>
      </c>
      <c r="I688" s="1">
        <v>4.7500000000000001E-2</v>
      </c>
      <c r="J688" s="1">
        <v>0.43880000000000002</v>
      </c>
    </row>
    <row r="689" spans="1:10" x14ac:dyDescent="0.2">
      <c r="A689" t="str">
        <f>"27/11/2023"</f>
        <v>27/11/2023</v>
      </c>
      <c r="B689">
        <v>1</v>
      </c>
      <c r="C689">
        <v>56000</v>
      </c>
      <c r="D689">
        <v>141204</v>
      </c>
      <c r="E689">
        <v>56000</v>
      </c>
      <c r="F689">
        <v>56000</v>
      </c>
      <c r="G689" s="1">
        <v>4.7500000000000001E-2</v>
      </c>
      <c r="H689" s="1">
        <v>4.7500000000000001E-2</v>
      </c>
      <c r="I689" s="1">
        <v>4.7500000000000001E-2</v>
      </c>
      <c r="J689" s="1">
        <v>0.28399999999999997</v>
      </c>
    </row>
    <row r="690" spans="1:10" x14ac:dyDescent="0.2">
      <c r="A690" t="str">
        <f>"26/11/2023"</f>
        <v>26/11/2023</v>
      </c>
      <c r="B690">
        <v>1</v>
      </c>
      <c r="C690">
        <v>58000</v>
      </c>
      <c r="D690">
        <v>194489</v>
      </c>
      <c r="E690">
        <v>58000</v>
      </c>
      <c r="F690">
        <v>58000</v>
      </c>
      <c r="G690" s="1">
        <v>4.7500000000000001E-2</v>
      </c>
      <c r="H690" s="1">
        <v>4.7500000000000001E-2</v>
      </c>
      <c r="I690" s="1">
        <v>4.7500000000000001E-2</v>
      </c>
      <c r="J690" s="1">
        <v>0.1948</v>
      </c>
    </row>
    <row r="691" spans="1:10" x14ac:dyDescent="0.2">
      <c r="A691" t="str">
        <f>"23/11/2023"</f>
        <v>23/11/2023</v>
      </c>
      <c r="B691">
        <v>3</v>
      </c>
      <c r="C691">
        <v>58000</v>
      </c>
      <c r="D691">
        <v>222466</v>
      </c>
      <c r="E691">
        <v>58000</v>
      </c>
      <c r="F691">
        <v>58000</v>
      </c>
      <c r="G691" s="1">
        <v>4.7500000000000001E-2</v>
      </c>
      <c r="H691" s="1">
        <v>4.7500000000000001E-2</v>
      </c>
      <c r="I691" s="1">
        <v>4.7500000000000001E-2</v>
      </c>
      <c r="J691" s="1">
        <v>0.17150000000000001</v>
      </c>
    </row>
    <row r="692" spans="1:10" x14ac:dyDescent="0.2">
      <c r="A692" t="str">
        <f>"22/11/2023"</f>
        <v>22/11/2023</v>
      </c>
      <c r="B692">
        <v>1</v>
      </c>
      <c r="C692">
        <v>57000</v>
      </c>
      <c r="D692">
        <v>253285</v>
      </c>
      <c r="E692">
        <v>57000</v>
      </c>
      <c r="F692">
        <v>57000</v>
      </c>
      <c r="G692" s="1">
        <v>4.7500000000000001E-2</v>
      </c>
      <c r="H692" s="1">
        <v>4.7500000000000001E-2</v>
      </c>
      <c r="I692" s="1">
        <v>4.7500000000000001E-2</v>
      </c>
      <c r="J692" s="1">
        <v>0.1429</v>
      </c>
    </row>
    <row r="693" spans="1:10" x14ac:dyDescent="0.2">
      <c r="A693" t="str">
        <f>"21/11/2023"</f>
        <v>21/11/2023</v>
      </c>
      <c r="B693">
        <v>1</v>
      </c>
      <c r="C693">
        <v>61000</v>
      </c>
      <c r="D693">
        <v>225852</v>
      </c>
      <c r="E693">
        <v>61000</v>
      </c>
      <c r="F693">
        <v>61000</v>
      </c>
      <c r="G693" s="1">
        <v>4.7500000000000001E-2</v>
      </c>
      <c r="H693" s="1">
        <v>4.7500000000000001E-2</v>
      </c>
      <c r="I693" s="1">
        <v>4.7500000000000001E-2</v>
      </c>
      <c r="J693" s="1">
        <v>0.16600000000000001</v>
      </c>
    </row>
    <row r="694" spans="1:10" x14ac:dyDescent="0.2">
      <c r="A694" t="str">
        <f>"20/11/2023"</f>
        <v>20/11/2023</v>
      </c>
      <c r="B694">
        <v>1</v>
      </c>
      <c r="C694">
        <v>62000</v>
      </c>
      <c r="D694">
        <v>230495</v>
      </c>
      <c r="E694">
        <v>62000</v>
      </c>
      <c r="F694">
        <v>62000</v>
      </c>
      <c r="G694" s="1">
        <v>4.7500000000000001E-2</v>
      </c>
      <c r="H694" s="1">
        <v>4.7500000000000001E-2</v>
      </c>
      <c r="I694" s="1">
        <v>4.7500000000000001E-2</v>
      </c>
      <c r="J694" s="1">
        <v>0.18179999999999999</v>
      </c>
    </row>
    <row r="695" spans="1:10" x14ac:dyDescent="0.2">
      <c r="A695" t="str">
        <f>"19/11/2023"</f>
        <v>19/11/2023</v>
      </c>
      <c r="B695">
        <v>1</v>
      </c>
      <c r="C695">
        <v>64000</v>
      </c>
      <c r="D695">
        <v>205596</v>
      </c>
      <c r="E695">
        <v>64000</v>
      </c>
      <c r="F695">
        <v>64000</v>
      </c>
      <c r="G695" s="1">
        <v>4.7500000000000001E-2</v>
      </c>
      <c r="H695" s="1">
        <v>4.7500000000000001E-2</v>
      </c>
      <c r="I695" s="1">
        <v>4.7500000000000001E-2</v>
      </c>
      <c r="J695" s="1">
        <v>0.20799999999999999</v>
      </c>
    </row>
    <row r="696" spans="1:10" x14ac:dyDescent="0.2">
      <c r="A696" t="str">
        <f>"16/11/2023"</f>
        <v>16/11/2023</v>
      </c>
      <c r="B696">
        <v>3</v>
      </c>
      <c r="C696">
        <v>66000</v>
      </c>
      <c r="D696">
        <v>222009</v>
      </c>
      <c r="E696">
        <v>66000</v>
      </c>
      <c r="F696">
        <v>66000</v>
      </c>
      <c r="G696" s="1">
        <v>4.7500000000000001E-2</v>
      </c>
      <c r="H696" s="1">
        <v>4.7500000000000001E-2</v>
      </c>
      <c r="I696" s="1">
        <v>4.7500000000000001E-2</v>
      </c>
      <c r="J696" s="1">
        <v>0.2331</v>
      </c>
    </row>
    <row r="697" spans="1:10" x14ac:dyDescent="0.2">
      <c r="A697" t="str">
        <f>"15/11/2023"</f>
        <v>15/11/2023</v>
      </c>
      <c r="B697">
        <v>1</v>
      </c>
      <c r="C697">
        <v>71000</v>
      </c>
      <c r="D697">
        <v>235850</v>
      </c>
      <c r="E697">
        <v>71000</v>
      </c>
      <c r="F697">
        <v>71000</v>
      </c>
      <c r="G697" s="1">
        <v>4.7500000000000001E-2</v>
      </c>
      <c r="H697" s="1">
        <v>4.7500000000000001E-2</v>
      </c>
      <c r="I697" s="1">
        <v>4.7500000000000001E-2</v>
      </c>
      <c r="J697" s="1">
        <v>0.23749999999999999</v>
      </c>
    </row>
    <row r="698" spans="1:10" x14ac:dyDescent="0.2">
      <c r="A698" t="str">
        <f>"14/11/2023"</f>
        <v>14/11/2023</v>
      </c>
      <c r="B698">
        <v>1</v>
      </c>
      <c r="C698">
        <v>75000</v>
      </c>
      <c r="D698">
        <v>207570</v>
      </c>
      <c r="E698">
        <v>75000</v>
      </c>
      <c r="F698">
        <v>75000</v>
      </c>
      <c r="G698" s="1">
        <v>4.7500000000000001E-2</v>
      </c>
      <c r="H698" s="1">
        <v>4.7500000000000001E-2</v>
      </c>
      <c r="I698" s="1">
        <v>4.7500000000000001E-2</v>
      </c>
      <c r="J698" s="1">
        <v>0.29220000000000002</v>
      </c>
    </row>
    <row r="699" spans="1:10" x14ac:dyDescent="0.2">
      <c r="A699" t="str">
        <f>"13/11/2023"</f>
        <v>13/11/2023</v>
      </c>
      <c r="B699">
        <v>1</v>
      </c>
      <c r="C699">
        <v>77000</v>
      </c>
      <c r="D699">
        <v>206517</v>
      </c>
      <c r="E699">
        <v>77000</v>
      </c>
      <c r="F699">
        <v>77000</v>
      </c>
      <c r="G699" s="1">
        <v>4.7500000000000001E-2</v>
      </c>
      <c r="H699" s="1">
        <v>4.7500000000000001E-2</v>
      </c>
      <c r="I699" s="1">
        <v>4.7500000000000001E-2</v>
      </c>
      <c r="J699" s="1">
        <v>0.30669999999999997</v>
      </c>
    </row>
    <row r="700" spans="1:10" x14ac:dyDescent="0.2">
      <c r="A700" t="str">
        <f>"12/11/2023"</f>
        <v>12/11/2023</v>
      </c>
      <c r="B700">
        <v>1</v>
      </c>
      <c r="C700">
        <v>78000</v>
      </c>
      <c r="D700">
        <v>199964</v>
      </c>
      <c r="E700">
        <v>78000</v>
      </c>
      <c r="F700">
        <v>78000</v>
      </c>
      <c r="G700" s="1">
        <v>4.7500000000000001E-2</v>
      </c>
      <c r="H700" s="1">
        <v>4.7500000000000001E-2</v>
      </c>
      <c r="I700" s="1">
        <v>4.7500000000000001E-2</v>
      </c>
      <c r="J700" s="1">
        <v>0.31929999999999997</v>
      </c>
    </row>
    <row r="701" spans="1:10" x14ac:dyDescent="0.2">
      <c r="A701" t="str">
        <f>"09/11/2023"</f>
        <v>09/11/2023</v>
      </c>
      <c r="B701">
        <v>3</v>
      </c>
      <c r="C701">
        <v>75000</v>
      </c>
      <c r="D701">
        <v>194412</v>
      </c>
      <c r="E701">
        <v>75000</v>
      </c>
      <c r="F701">
        <v>75000</v>
      </c>
      <c r="G701" s="1">
        <v>4.7500000000000001E-2</v>
      </c>
      <c r="H701" s="1">
        <v>4.7500000000000001E-2</v>
      </c>
      <c r="I701" s="1">
        <v>4.7500000000000001E-2</v>
      </c>
      <c r="J701" s="1">
        <v>0.32490000000000002</v>
      </c>
    </row>
    <row r="702" spans="1:10" x14ac:dyDescent="0.2">
      <c r="A702" t="str">
        <f>"08/11/2023"</f>
        <v>08/11/2023</v>
      </c>
      <c r="B702">
        <v>1</v>
      </c>
      <c r="C702">
        <v>76000</v>
      </c>
      <c r="D702">
        <v>194519</v>
      </c>
      <c r="E702">
        <v>76000</v>
      </c>
      <c r="F702">
        <v>76000</v>
      </c>
      <c r="G702" s="1">
        <v>4.7500000000000001E-2</v>
      </c>
      <c r="H702" s="1">
        <v>4.7500000000000001E-2</v>
      </c>
      <c r="I702" s="1">
        <v>4.7500000000000001E-2</v>
      </c>
      <c r="J702" s="1">
        <v>0.3286</v>
      </c>
    </row>
    <row r="703" spans="1:10" x14ac:dyDescent="0.2">
      <c r="A703" t="str">
        <f>"07/11/2023"</f>
        <v>07/11/2023</v>
      </c>
      <c r="B703">
        <v>1</v>
      </c>
      <c r="C703">
        <v>69000</v>
      </c>
      <c r="D703">
        <v>163674</v>
      </c>
      <c r="E703">
        <v>69000</v>
      </c>
      <c r="F703">
        <v>69000</v>
      </c>
      <c r="G703" s="1">
        <v>4.7500000000000001E-2</v>
      </c>
      <c r="H703" s="1">
        <v>4.7500000000000001E-2</v>
      </c>
      <c r="I703" s="1">
        <v>4.7500000000000001E-2</v>
      </c>
      <c r="J703" s="1">
        <v>0.3629</v>
      </c>
    </row>
    <row r="704" spans="1:10" x14ac:dyDescent="0.2">
      <c r="A704" t="str">
        <f>"06/11/2023"</f>
        <v>06/11/2023</v>
      </c>
      <c r="B704">
        <v>1</v>
      </c>
      <c r="C704">
        <v>70000</v>
      </c>
      <c r="D704">
        <v>170503</v>
      </c>
      <c r="E704">
        <v>70000</v>
      </c>
      <c r="F704">
        <v>70000</v>
      </c>
      <c r="G704" s="1">
        <v>4.7500000000000001E-2</v>
      </c>
      <c r="H704" s="1">
        <v>4.7500000000000001E-2</v>
      </c>
      <c r="I704" s="1">
        <v>4.7500000000000001E-2</v>
      </c>
      <c r="J704" s="1">
        <v>0.35260000000000002</v>
      </c>
    </row>
    <row r="705" spans="1:10" x14ac:dyDescent="0.2">
      <c r="A705" t="str">
        <f>"05/11/2023"</f>
        <v>05/11/2023</v>
      </c>
      <c r="B705">
        <v>1</v>
      </c>
      <c r="C705">
        <v>70000</v>
      </c>
      <c r="D705">
        <v>189997</v>
      </c>
      <c r="E705">
        <v>70000</v>
      </c>
      <c r="F705">
        <v>70000</v>
      </c>
      <c r="G705" s="1">
        <v>4.7500000000000001E-2</v>
      </c>
      <c r="H705" s="1">
        <v>4.7500000000000001E-2</v>
      </c>
      <c r="I705" s="1">
        <v>4.7500000000000001E-2</v>
      </c>
      <c r="J705" s="1">
        <v>0.29459999999999997</v>
      </c>
    </row>
    <row r="706" spans="1:10" x14ac:dyDescent="0.2">
      <c r="A706" t="str">
        <f>"02/11/2023"</f>
        <v>02/11/2023</v>
      </c>
      <c r="B706">
        <v>3</v>
      </c>
      <c r="C706">
        <v>69000</v>
      </c>
      <c r="D706">
        <v>224359</v>
      </c>
      <c r="E706">
        <v>69000</v>
      </c>
      <c r="F706">
        <v>69000</v>
      </c>
      <c r="G706" s="1">
        <v>4.7500000000000001E-2</v>
      </c>
      <c r="H706" s="1">
        <v>4.7500000000000001E-2</v>
      </c>
      <c r="I706" s="1">
        <v>4.7500000000000001E-2</v>
      </c>
      <c r="J706" s="1">
        <v>0.23769999999999999</v>
      </c>
    </row>
    <row r="707" spans="1:10" x14ac:dyDescent="0.2">
      <c r="A707" t="str">
        <f>"01/11/2023"</f>
        <v>01/11/2023</v>
      </c>
      <c r="B707">
        <v>1</v>
      </c>
      <c r="C707">
        <v>69000</v>
      </c>
      <c r="D707">
        <v>217670</v>
      </c>
      <c r="E707">
        <v>69000</v>
      </c>
      <c r="F707">
        <v>69000</v>
      </c>
      <c r="G707" s="1">
        <v>4.7500000000000001E-2</v>
      </c>
      <c r="H707" s="1">
        <v>4.7500000000000001E-2</v>
      </c>
      <c r="I707" s="1">
        <v>4.7500000000000001E-2</v>
      </c>
      <c r="J707" s="1">
        <v>0.2175</v>
      </c>
    </row>
    <row r="708" spans="1:10" x14ac:dyDescent="0.2">
      <c r="A708" t="str">
        <f>"31/10/2023"</f>
        <v>31/10/2023</v>
      </c>
      <c r="B708">
        <v>1</v>
      </c>
      <c r="C708">
        <v>61000</v>
      </c>
      <c r="D708">
        <v>175270</v>
      </c>
      <c r="E708">
        <v>61000</v>
      </c>
      <c r="F708">
        <v>61000</v>
      </c>
      <c r="G708" s="1">
        <v>4.7500000000000001E-2</v>
      </c>
      <c r="H708" s="1">
        <v>4.7500000000000001E-2</v>
      </c>
      <c r="I708" s="1">
        <v>4.7500000000000001E-2</v>
      </c>
      <c r="J708" s="1">
        <v>0.23330000000000001</v>
      </c>
    </row>
    <row r="709" spans="1:10" x14ac:dyDescent="0.2">
      <c r="A709" t="str">
        <f>"30/10/2023"</f>
        <v>30/10/2023</v>
      </c>
      <c r="B709">
        <v>1</v>
      </c>
      <c r="C709">
        <v>60000</v>
      </c>
      <c r="D709">
        <v>132324</v>
      </c>
      <c r="E709">
        <v>60000</v>
      </c>
      <c r="F709">
        <v>60000</v>
      </c>
      <c r="G709" s="1">
        <v>4.7500000000000001E-2</v>
      </c>
      <c r="H709" s="1">
        <v>4.7399999999999998E-2</v>
      </c>
      <c r="I709" s="1">
        <v>4.7399999999999998E-2</v>
      </c>
      <c r="J709" s="1">
        <v>0.24759999999999999</v>
      </c>
    </row>
    <row r="710" spans="1:10" x14ac:dyDescent="0.2">
      <c r="A710" t="str">
        <f>"29/10/2023"</f>
        <v>29/10/2023</v>
      </c>
      <c r="B710">
        <v>1</v>
      </c>
      <c r="C710">
        <v>63000</v>
      </c>
      <c r="D710">
        <v>146520</v>
      </c>
      <c r="E710">
        <v>63000</v>
      </c>
      <c r="F710">
        <v>63000</v>
      </c>
      <c r="G710" s="1">
        <v>4.7500000000000001E-2</v>
      </c>
      <c r="H710" s="1">
        <v>4.7500000000000001E-2</v>
      </c>
      <c r="I710" s="1">
        <v>4.7500000000000001E-2</v>
      </c>
      <c r="J710" s="1">
        <v>0.28949999999999998</v>
      </c>
    </row>
    <row r="711" spans="1:10" x14ac:dyDescent="0.2">
      <c r="A711" t="str">
        <f>"26/10/2023"</f>
        <v>26/10/2023</v>
      </c>
      <c r="B711">
        <v>3</v>
      </c>
      <c r="C711">
        <v>65000</v>
      </c>
      <c r="D711">
        <v>135039</v>
      </c>
      <c r="E711">
        <v>65000</v>
      </c>
      <c r="F711">
        <v>65000</v>
      </c>
      <c r="G711" s="1">
        <v>4.7500000000000001E-2</v>
      </c>
      <c r="H711" s="1">
        <v>4.7500000000000001E-2</v>
      </c>
      <c r="I711" s="1">
        <v>4.7500000000000001E-2</v>
      </c>
      <c r="J711" s="1">
        <v>0.39739999999999998</v>
      </c>
    </row>
    <row r="712" spans="1:10" x14ac:dyDescent="0.2">
      <c r="A712" t="str">
        <f>"25/10/2023"</f>
        <v>25/10/2023</v>
      </c>
      <c r="B712">
        <v>1</v>
      </c>
      <c r="C712">
        <v>78000</v>
      </c>
      <c r="D712">
        <v>74555</v>
      </c>
      <c r="E712">
        <v>74555</v>
      </c>
      <c r="F712">
        <v>74555</v>
      </c>
      <c r="G712" s="1">
        <v>4.7500000000000001E-2</v>
      </c>
      <c r="H712" s="1">
        <v>4.7399999999999998E-2</v>
      </c>
      <c r="I712" s="1">
        <v>4.7399999999999998E-2</v>
      </c>
      <c r="J712" s="1">
        <v>1</v>
      </c>
    </row>
    <row r="713" spans="1:10" x14ac:dyDescent="0.2">
      <c r="A713" t="str">
        <f>"24/10/2023"</f>
        <v>24/10/2023</v>
      </c>
      <c r="B713">
        <v>1</v>
      </c>
      <c r="C713">
        <v>71000</v>
      </c>
      <c r="D713">
        <v>184984</v>
      </c>
      <c r="E713">
        <v>71000</v>
      </c>
      <c r="F713">
        <v>71000</v>
      </c>
      <c r="G713" s="1">
        <v>4.7500000000000001E-2</v>
      </c>
      <c r="H713" s="1">
        <v>4.7399999999999998E-2</v>
      </c>
      <c r="I713" s="1">
        <v>4.7399999999999998E-2</v>
      </c>
      <c r="J713" s="1">
        <v>0.21010000000000001</v>
      </c>
    </row>
    <row r="714" spans="1:10" x14ac:dyDescent="0.2">
      <c r="A714" t="str">
        <f>"23/10/2023"</f>
        <v>23/10/2023</v>
      </c>
      <c r="B714">
        <v>1</v>
      </c>
      <c r="C714">
        <v>67000</v>
      </c>
      <c r="D714">
        <v>176293</v>
      </c>
      <c r="E714">
        <v>67000</v>
      </c>
      <c r="F714">
        <v>67000</v>
      </c>
      <c r="G714" s="1">
        <v>4.7500000000000001E-2</v>
      </c>
      <c r="H714" s="1">
        <v>4.7399999999999998E-2</v>
      </c>
      <c r="I714" s="1">
        <v>4.7399999999999998E-2</v>
      </c>
      <c r="J714" s="1">
        <v>0.22209999999999999</v>
      </c>
    </row>
    <row r="715" spans="1:10" x14ac:dyDescent="0.2">
      <c r="A715" t="str">
        <f>"22/10/2023"</f>
        <v>22/10/2023</v>
      </c>
      <c r="B715">
        <v>1</v>
      </c>
      <c r="C715">
        <v>73000</v>
      </c>
      <c r="D715">
        <v>186808</v>
      </c>
      <c r="E715">
        <v>73000</v>
      </c>
      <c r="F715">
        <v>73000</v>
      </c>
      <c r="G715" s="1">
        <v>4.7500000000000001E-2</v>
      </c>
      <c r="H715" s="1">
        <v>4.7399999999999998E-2</v>
      </c>
      <c r="I715" s="1">
        <v>4.7399999999999998E-2</v>
      </c>
      <c r="J715" s="1">
        <v>0.23569999999999999</v>
      </c>
    </row>
    <row r="716" spans="1:10" x14ac:dyDescent="0.2">
      <c r="A716" t="str">
        <f>"19/10/2023"</f>
        <v>19/10/2023</v>
      </c>
      <c r="B716">
        <v>3</v>
      </c>
      <c r="C716">
        <v>69000</v>
      </c>
      <c r="D716">
        <v>174749</v>
      </c>
      <c r="E716">
        <v>69000</v>
      </c>
      <c r="F716">
        <v>69000</v>
      </c>
      <c r="G716" s="1">
        <v>4.7500000000000001E-2</v>
      </c>
      <c r="H716" s="1">
        <v>4.7500000000000001E-2</v>
      </c>
      <c r="I716" s="1">
        <v>4.7500000000000001E-2</v>
      </c>
      <c r="J716" s="1">
        <v>0.25330000000000003</v>
      </c>
    </row>
    <row r="717" spans="1:10" x14ac:dyDescent="0.2">
      <c r="A717" t="str">
        <f>"18/10/2023"</f>
        <v>18/10/2023</v>
      </c>
      <c r="B717">
        <v>1</v>
      </c>
      <c r="C717">
        <v>50000</v>
      </c>
      <c r="D717">
        <v>172570</v>
      </c>
      <c r="E717">
        <v>50000</v>
      </c>
      <c r="F717">
        <v>50000</v>
      </c>
      <c r="G717" s="1">
        <v>4.7500000000000001E-2</v>
      </c>
      <c r="H717" s="1">
        <v>4.7500000000000001E-2</v>
      </c>
      <c r="I717" s="1">
        <v>4.7500000000000001E-2</v>
      </c>
      <c r="J717" s="1">
        <v>0.16980000000000001</v>
      </c>
    </row>
    <row r="718" spans="1:10" x14ac:dyDescent="0.2">
      <c r="A718" t="str">
        <f>"17/10/2023"</f>
        <v>17/10/2023</v>
      </c>
      <c r="B718">
        <v>1</v>
      </c>
      <c r="C718">
        <v>52000</v>
      </c>
      <c r="D718">
        <v>150820</v>
      </c>
      <c r="E718">
        <v>52000</v>
      </c>
      <c r="F718">
        <v>52000</v>
      </c>
      <c r="G718" s="1">
        <v>4.7500000000000001E-2</v>
      </c>
      <c r="H718" s="1">
        <v>4.7399999999999998E-2</v>
      </c>
      <c r="I718" s="1">
        <v>4.7399999999999998E-2</v>
      </c>
      <c r="J718" s="1">
        <v>0.19750000000000001</v>
      </c>
    </row>
    <row r="719" spans="1:10" x14ac:dyDescent="0.2">
      <c r="A719" t="str">
        <f>"16/10/2023"</f>
        <v>16/10/2023</v>
      </c>
      <c r="B719">
        <v>1</v>
      </c>
      <c r="C719">
        <v>57000</v>
      </c>
      <c r="D719">
        <v>166030</v>
      </c>
      <c r="E719">
        <v>57000</v>
      </c>
      <c r="F719">
        <v>57000</v>
      </c>
      <c r="G719" s="1">
        <v>4.7500000000000001E-2</v>
      </c>
      <c r="H719" s="1">
        <v>4.7500000000000001E-2</v>
      </c>
      <c r="I719" s="1">
        <v>4.7500000000000001E-2</v>
      </c>
      <c r="J719" s="1">
        <v>0.23710000000000001</v>
      </c>
    </row>
    <row r="720" spans="1:10" x14ac:dyDescent="0.2">
      <c r="A720" t="str">
        <f>"15/10/2023"</f>
        <v>15/10/2023</v>
      </c>
      <c r="B720">
        <v>1</v>
      </c>
      <c r="C720">
        <v>60000</v>
      </c>
      <c r="D720">
        <v>153559</v>
      </c>
      <c r="E720">
        <v>60000</v>
      </c>
      <c r="F720">
        <v>60000</v>
      </c>
      <c r="G720" s="1">
        <v>4.7500000000000001E-2</v>
      </c>
      <c r="H720" s="1">
        <v>4.7500000000000001E-2</v>
      </c>
      <c r="I720" s="1">
        <v>4.7500000000000001E-2</v>
      </c>
      <c r="J720" s="1">
        <v>0.27489999999999998</v>
      </c>
    </row>
    <row r="721" spans="1:10" x14ac:dyDescent="0.2">
      <c r="A721" t="str">
        <f>"12/10/2023"</f>
        <v>12/10/2023</v>
      </c>
      <c r="B721">
        <v>3</v>
      </c>
      <c r="C721">
        <v>59000</v>
      </c>
      <c r="D721">
        <v>137208</v>
      </c>
      <c r="E721">
        <v>59000</v>
      </c>
      <c r="F721">
        <v>59000</v>
      </c>
      <c r="G721" s="1">
        <v>4.7500000000000001E-2</v>
      </c>
      <c r="H721" s="1">
        <v>4.7500000000000001E-2</v>
      </c>
      <c r="I721" s="1">
        <v>4.7500000000000001E-2</v>
      </c>
      <c r="J721" s="1">
        <v>0.32279999999999998</v>
      </c>
    </row>
    <row r="722" spans="1:10" x14ac:dyDescent="0.2">
      <c r="A722" t="str">
        <f>"11/10/2023"</f>
        <v>11/10/2023</v>
      </c>
      <c r="B722">
        <v>1</v>
      </c>
      <c r="C722">
        <v>66000</v>
      </c>
      <c r="D722">
        <v>169622</v>
      </c>
      <c r="E722">
        <v>66000</v>
      </c>
      <c r="F722">
        <v>66000</v>
      </c>
      <c r="G722" s="1">
        <v>4.7500000000000001E-2</v>
      </c>
      <c r="H722" s="1">
        <v>4.7500000000000001E-2</v>
      </c>
      <c r="I722" s="1">
        <v>4.7500000000000001E-2</v>
      </c>
      <c r="J722" s="1">
        <v>0.28889999999999999</v>
      </c>
    </row>
    <row r="723" spans="1:10" x14ac:dyDescent="0.2">
      <c r="A723" t="str">
        <f>"10/10/2023"</f>
        <v>10/10/2023</v>
      </c>
      <c r="B723">
        <v>1</v>
      </c>
      <c r="C723">
        <v>73000</v>
      </c>
      <c r="D723">
        <v>187258</v>
      </c>
      <c r="E723">
        <v>73000</v>
      </c>
      <c r="F723">
        <v>73000</v>
      </c>
      <c r="G723" s="1">
        <v>4.7500000000000001E-2</v>
      </c>
      <c r="H723" s="1">
        <v>4.7500000000000001E-2</v>
      </c>
      <c r="I723" s="1">
        <v>4.7500000000000001E-2</v>
      </c>
      <c r="J723" s="1">
        <v>0.29330000000000001</v>
      </c>
    </row>
    <row r="724" spans="1:10" x14ac:dyDescent="0.2">
      <c r="A724" t="str">
        <f>"09/10/2023"</f>
        <v>09/10/2023</v>
      </c>
      <c r="B724">
        <v>1</v>
      </c>
      <c r="C724">
        <v>74000</v>
      </c>
      <c r="D724">
        <v>209410</v>
      </c>
      <c r="E724">
        <v>74000</v>
      </c>
      <c r="F724">
        <v>74000</v>
      </c>
      <c r="G724" s="1">
        <v>4.7500000000000001E-2</v>
      </c>
      <c r="H724" s="1">
        <v>4.7500000000000001E-2</v>
      </c>
      <c r="I724" s="1">
        <v>4.7500000000000001E-2</v>
      </c>
      <c r="J724" s="1">
        <v>0.26069999999999999</v>
      </c>
    </row>
    <row r="725" spans="1:10" x14ac:dyDescent="0.2">
      <c r="A725" t="str">
        <f>"08/10/2023"</f>
        <v>08/10/2023</v>
      </c>
      <c r="B725">
        <v>1</v>
      </c>
      <c r="C725">
        <v>74000</v>
      </c>
      <c r="D725">
        <v>194420</v>
      </c>
      <c r="E725">
        <v>74000</v>
      </c>
      <c r="F725">
        <v>74000</v>
      </c>
      <c r="G725" s="1">
        <v>4.7500000000000001E-2</v>
      </c>
      <c r="H725" s="1">
        <v>4.7500000000000001E-2</v>
      </c>
      <c r="I725" s="1">
        <v>4.7500000000000001E-2</v>
      </c>
      <c r="J725" s="1">
        <v>0.29310000000000003</v>
      </c>
    </row>
    <row r="726" spans="1:10" x14ac:dyDescent="0.2">
      <c r="A726" t="str">
        <f>"05/10/2023"</f>
        <v>05/10/2023</v>
      </c>
      <c r="B726">
        <v>3</v>
      </c>
      <c r="C726">
        <v>76000</v>
      </c>
      <c r="D726">
        <v>188073</v>
      </c>
      <c r="E726">
        <v>76000</v>
      </c>
      <c r="F726">
        <v>76000</v>
      </c>
      <c r="G726" s="1">
        <v>4.7500000000000001E-2</v>
      </c>
      <c r="H726" s="1">
        <v>4.7500000000000001E-2</v>
      </c>
      <c r="I726" s="1">
        <v>4.7500000000000001E-2</v>
      </c>
      <c r="J726" s="1">
        <v>0.32450000000000001</v>
      </c>
    </row>
    <row r="727" spans="1:10" x14ac:dyDescent="0.2">
      <c r="A727" t="str">
        <f>"04/10/2023"</f>
        <v>04/10/2023</v>
      </c>
      <c r="B727">
        <v>1</v>
      </c>
      <c r="C727">
        <v>77000</v>
      </c>
      <c r="D727">
        <v>190795</v>
      </c>
      <c r="E727">
        <v>77000</v>
      </c>
      <c r="F727">
        <v>77000</v>
      </c>
      <c r="G727" s="1">
        <v>4.7500000000000001E-2</v>
      </c>
      <c r="H727" s="1">
        <v>4.7500000000000001E-2</v>
      </c>
      <c r="I727" s="1">
        <v>4.7500000000000001E-2</v>
      </c>
      <c r="J727" s="1">
        <v>0.3196</v>
      </c>
    </row>
    <row r="728" spans="1:10" x14ac:dyDescent="0.2">
      <c r="A728" t="str">
        <f>"03/10/2023"</f>
        <v>03/10/2023</v>
      </c>
      <c r="B728">
        <v>1</v>
      </c>
      <c r="C728">
        <v>75000</v>
      </c>
      <c r="D728">
        <v>171505</v>
      </c>
      <c r="E728">
        <v>75000</v>
      </c>
      <c r="F728">
        <v>75000</v>
      </c>
      <c r="G728" s="1">
        <v>4.7500000000000001E-2</v>
      </c>
      <c r="H728" s="1">
        <v>4.7500000000000001E-2</v>
      </c>
      <c r="I728" s="1">
        <v>4.7500000000000001E-2</v>
      </c>
      <c r="J728" s="1">
        <v>0.3533</v>
      </c>
    </row>
    <row r="729" spans="1:10" x14ac:dyDescent="0.2">
      <c r="A729" t="str">
        <f>"02/10/2023"</f>
        <v>02/10/2023</v>
      </c>
      <c r="B729">
        <v>1</v>
      </c>
      <c r="C729">
        <v>79000</v>
      </c>
      <c r="D729">
        <v>170778</v>
      </c>
      <c r="E729">
        <v>79000</v>
      </c>
      <c r="F729">
        <v>79000</v>
      </c>
      <c r="G729" s="1">
        <v>4.7500000000000001E-2</v>
      </c>
      <c r="H729" s="1">
        <v>4.7500000000000001E-2</v>
      </c>
      <c r="I729" s="1">
        <v>4.7500000000000001E-2</v>
      </c>
      <c r="J729" s="1">
        <v>0.37880000000000003</v>
      </c>
    </row>
    <row r="730" spans="1:10" x14ac:dyDescent="0.2">
      <c r="A730" t="str">
        <f>"01/10/2023"</f>
        <v>01/10/2023</v>
      </c>
      <c r="B730">
        <v>1</v>
      </c>
      <c r="C730">
        <v>77000</v>
      </c>
      <c r="D730">
        <v>162504</v>
      </c>
      <c r="E730">
        <v>77000</v>
      </c>
      <c r="F730">
        <v>77000</v>
      </c>
      <c r="G730" s="1">
        <v>4.7500000000000001E-2</v>
      </c>
      <c r="H730" s="1">
        <v>4.7500000000000001E-2</v>
      </c>
      <c r="I730" s="1">
        <v>4.7500000000000001E-2</v>
      </c>
      <c r="J730" s="1">
        <v>0.38100000000000001</v>
      </c>
    </row>
    <row r="731" spans="1:10" x14ac:dyDescent="0.2">
      <c r="A731" t="str">
        <f>"28/09/2023"</f>
        <v>28/09/2023</v>
      </c>
      <c r="B731">
        <v>3</v>
      </c>
      <c r="C731">
        <v>66000</v>
      </c>
      <c r="D731">
        <v>130126</v>
      </c>
      <c r="E731">
        <v>66000</v>
      </c>
      <c r="F731">
        <v>66000</v>
      </c>
      <c r="G731" s="1">
        <v>4.7500000000000001E-2</v>
      </c>
      <c r="H731" s="1">
        <v>4.7500000000000001E-2</v>
      </c>
      <c r="I731" s="1">
        <v>4.7500000000000001E-2</v>
      </c>
      <c r="J731" s="1">
        <v>0.44500000000000001</v>
      </c>
    </row>
    <row r="732" spans="1:10" x14ac:dyDescent="0.2">
      <c r="A732" t="str">
        <f>"27/09/2023"</f>
        <v>27/09/2023</v>
      </c>
      <c r="B732">
        <v>1</v>
      </c>
      <c r="C732">
        <v>65000</v>
      </c>
      <c r="D732">
        <v>146282</v>
      </c>
      <c r="E732">
        <v>65000</v>
      </c>
      <c r="F732">
        <v>65000</v>
      </c>
      <c r="G732" s="1">
        <v>4.7500000000000001E-2</v>
      </c>
      <c r="H732" s="1">
        <v>4.7500000000000001E-2</v>
      </c>
      <c r="I732" s="1">
        <v>4.7500000000000001E-2</v>
      </c>
      <c r="J732" s="1">
        <v>0.36799999999999999</v>
      </c>
    </row>
    <row r="733" spans="1:10" x14ac:dyDescent="0.2">
      <c r="A733" t="str">
        <f>"26/09/2023"</f>
        <v>26/09/2023</v>
      </c>
      <c r="B733">
        <v>1</v>
      </c>
      <c r="C733">
        <v>68000</v>
      </c>
      <c r="D733">
        <v>150777</v>
      </c>
      <c r="E733">
        <v>68000</v>
      </c>
      <c r="F733">
        <v>68000</v>
      </c>
      <c r="G733" s="1">
        <v>4.7500000000000001E-2</v>
      </c>
      <c r="H733" s="1">
        <v>4.7500000000000001E-2</v>
      </c>
      <c r="I733" s="1">
        <v>4.7500000000000001E-2</v>
      </c>
      <c r="J733" s="1">
        <v>0.36149999999999999</v>
      </c>
    </row>
    <row r="734" spans="1:10" x14ac:dyDescent="0.2">
      <c r="A734" t="str">
        <f>"21/09/2023"</f>
        <v>21/09/2023</v>
      </c>
      <c r="B734">
        <v>5</v>
      </c>
      <c r="C734">
        <v>71000</v>
      </c>
      <c r="D734">
        <v>199580</v>
      </c>
      <c r="E734">
        <v>71000</v>
      </c>
      <c r="F734">
        <v>71000</v>
      </c>
      <c r="G734" s="1">
        <v>4.7500000000000001E-2</v>
      </c>
      <c r="H734" s="1">
        <v>4.7500000000000001E-2</v>
      </c>
      <c r="I734" s="1">
        <v>4.7500000000000001E-2</v>
      </c>
      <c r="J734" s="1">
        <v>0.29609999999999997</v>
      </c>
    </row>
    <row r="735" spans="1:10" x14ac:dyDescent="0.2">
      <c r="A735" t="str">
        <f>"20/09/2023"</f>
        <v>20/09/2023</v>
      </c>
      <c r="B735">
        <v>1</v>
      </c>
      <c r="C735">
        <v>71000</v>
      </c>
      <c r="D735">
        <v>209190</v>
      </c>
      <c r="E735">
        <v>71000</v>
      </c>
      <c r="F735">
        <v>71000</v>
      </c>
      <c r="G735" s="1">
        <v>4.7500000000000001E-2</v>
      </c>
      <c r="H735" s="1">
        <v>4.7500000000000001E-2</v>
      </c>
      <c r="I735" s="1">
        <v>4.7500000000000001E-2</v>
      </c>
      <c r="J735" s="1">
        <v>0.2702</v>
      </c>
    </row>
    <row r="736" spans="1:10" x14ac:dyDescent="0.2">
      <c r="A736" t="str">
        <f>"19/09/2023"</f>
        <v>19/09/2023</v>
      </c>
      <c r="B736">
        <v>1</v>
      </c>
      <c r="C736">
        <v>72000</v>
      </c>
      <c r="D736">
        <v>224614</v>
      </c>
      <c r="E736">
        <v>72000</v>
      </c>
      <c r="F736">
        <v>72000</v>
      </c>
      <c r="G736" s="1">
        <v>4.7500000000000001E-2</v>
      </c>
      <c r="H736" s="1">
        <v>4.7500000000000001E-2</v>
      </c>
      <c r="I736" s="1">
        <v>4.7500000000000001E-2</v>
      </c>
      <c r="J736" s="1">
        <v>0.25090000000000001</v>
      </c>
    </row>
    <row r="737" spans="1:10" x14ac:dyDescent="0.2">
      <c r="A737" t="str">
        <f>"18/09/2023"</f>
        <v>18/09/2023</v>
      </c>
      <c r="B737">
        <v>1</v>
      </c>
      <c r="C737">
        <v>75000</v>
      </c>
      <c r="D737">
        <v>228628</v>
      </c>
      <c r="E737">
        <v>75000</v>
      </c>
      <c r="F737">
        <v>75000</v>
      </c>
      <c r="G737" s="1">
        <v>4.7500000000000001E-2</v>
      </c>
      <c r="H737" s="1">
        <v>4.7500000000000001E-2</v>
      </c>
      <c r="I737" s="1">
        <v>4.7500000000000001E-2</v>
      </c>
      <c r="J737" s="1">
        <v>0.25380000000000003</v>
      </c>
    </row>
    <row r="738" spans="1:10" x14ac:dyDescent="0.2">
      <c r="A738" t="str">
        <f>"14/09/2023"</f>
        <v>14/09/2023</v>
      </c>
      <c r="B738">
        <v>4</v>
      </c>
      <c r="C738">
        <v>78000</v>
      </c>
      <c r="D738">
        <v>237368</v>
      </c>
      <c r="E738">
        <v>78000</v>
      </c>
      <c r="F738">
        <v>78000</v>
      </c>
      <c r="G738" s="1">
        <v>4.7500000000000001E-2</v>
      </c>
      <c r="H738" s="1">
        <v>4.7500000000000001E-2</v>
      </c>
      <c r="I738" s="1">
        <v>4.7500000000000001E-2</v>
      </c>
      <c r="J738" s="1">
        <v>0.25509999999999999</v>
      </c>
    </row>
    <row r="739" spans="1:10" x14ac:dyDescent="0.2">
      <c r="A739" t="str">
        <f>"13/09/2023"</f>
        <v>13/09/2023</v>
      </c>
      <c r="B739">
        <v>1</v>
      </c>
      <c r="C739">
        <v>76000</v>
      </c>
      <c r="D739">
        <v>241026</v>
      </c>
      <c r="E739">
        <v>76000</v>
      </c>
      <c r="F739">
        <v>76000</v>
      </c>
      <c r="G739" s="1">
        <v>4.7500000000000001E-2</v>
      </c>
      <c r="H739" s="1">
        <v>4.7500000000000001E-2</v>
      </c>
      <c r="I739" s="1">
        <v>4.7500000000000001E-2</v>
      </c>
      <c r="J739" s="1">
        <v>0.23380000000000001</v>
      </c>
    </row>
    <row r="740" spans="1:10" x14ac:dyDescent="0.2">
      <c r="A740" t="str">
        <f>"12/09/2023"</f>
        <v>12/09/2023</v>
      </c>
      <c r="B740">
        <v>1</v>
      </c>
      <c r="C740">
        <v>75000</v>
      </c>
      <c r="D740">
        <v>216326</v>
      </c>
      <c r="E740">
        <v>75000</v>
      </c>
      <c r="F740">
        <v>75000</v>
      </c>
      <c r="G740" s="1">
        <v>4.7500000000000001E-2</v>
      </c>
      <c r="H740" s="1">
        <v>4.7500000000000001E-2</v>
      </c>
      <c r="I740" s="1">
        <v>4.7500000000000001E-2</v>
      </c>
      <c r="J740" s="1">
        <v>0.2535</v>
      </c>
    </row>
    <row r="741" spans="1:10" x14ac:dyDescent="0.2">
      <c r="A741" t="str">
        <f>"11/09/2023"</f>
        <v>11/09/2023</v>
      </c>
      <c r="B741">
        <v>1</v>
      </c>
      <c r="C741">
        <v>74000</v>
      </c>
      <c r="D741">
        <v>197916</v>
      </c>
      <c r="E741">
        <v>74000</v>
      </c>
      <c r="F741">
        <v>74000</v>
      </c>
      <c r="G741" s="1">
        <v>4.7500000000000001E-2</v>
      </c>
      <c r="H741" s="1">
        <v>4.7500000000000001E-2</v>
      </c>
      <c r="I741" s="1">
        <v>4.7500000000000001E-2</v>
      </c>
      <c r="J741" s="1">
        <v>0.29980000000000001</v>
      </c>
    </row>
    <row r="742" spans="1:10" x14ac:dyDescent="0.2">
      <c r="A742" t="str">
        <f>"10/09/2023"</f>
        <v>10/09/2023</v>
      </c>
      <c r="B742">
        <v>1</v>
      </c>
      <c r="C742">
        <v>74000</v>
      </c>
      <c r="D742">
        <v>148484</v>
      </c>
      <c r="E742">
        <v>74000</v>
      </c>
      <c r="F742">
        <v>74000</v>
      </c>
      <c r="G742" s="1">
        <v>4.7500000000000001E-2</v>
      </c>
      <c r="H742" s="1">
        <v>4.7500000000000001E-2</v>
      </c>
      <c r="I742" s="1">
        <v>4.7500000000000001E-2</v>
      </c>
      <c r="J742" s="1">
        <v>0.34350000000000003</v>
      </c>
    </row>
    <row r="743" spans="1:10" x14ac:dyDescent="0.2">
      <c r="A743" t="str">
        <f>"07/09/2023"</f>
        <v>07/09/2023</v>
      </c>
      <c r="B743">
        <v>3</v>
      </c>
      <c r="C743">
        <v>76000</v>
      </c>
      <c r="D743">
        <v>156388</v>
      </c>
      <c r="E743">
        <v>76000</v>
      </c>
      <c r="F743">
        <v>76000</v>
      </c>
      <c r="G743" s="1">
        <v>4.7500000000000001E-2</v>
      </c>
      <c r="H743" s="1">
        <v>4.7500000000000001E-2</v>
      </c>
      <c r="I743" s="1">
        <v>4.7500000000000001E-2</v>
      </c>
      <c r="J743" s="1">
        <v>0.43209999999999998</v>
      </c>
    </row>
    <row r="744" spans="1:10" x14ac:dyDescent="0.2">
      <c r="A744" t="str">
        <f>"06/09/2023"</f>
        <v>06/09/2023</v>
      </c>
      <c r="B744">
        <v>1</v>
      </c>
      <c r="C744">
        <v>75000</v>
      </c>
      <c r="D744">
        <v>73234</v>
      </c>
      <c r="E744">
        <v>73234</v>
      </c>
      <c r="F744">
        <v>73234</v>
      </c>
      <c r="G744" s="1">
        <v>4.7500000000000001E-2</v>
      </c>
      <c r="H744" s="1">
        <v>4.7500000000000001E-2</v>
      </c>
      <c r="I744" s="1">
        <v>4.7500000000000001E-2</v>
      </c>
      <c r="J744" s="1">
        <v>1</v>
      </c>
    </row>
    <row r="745" spans="1:10" x14ac:dyDescent="0.2">
      <c r="A745" t="str">
        <f>"05/09/2023"</f>
        <v>05/09/2023</v>
      </c>
      <c r="B745">
        <v>1</v>
      </c>
      <c r="C745">
        <v>83000</v>
      </c>
      <c r="D745">
        <v>257233</v>
      </c>
      <c r="E745">
        <v>83000</v>
      </c>
      <c r="F745">
        <v>83000</v>
      </c>
      <c r="G745" s="1">
        <v>4.7500000000000001E-2</v>
      </c>
      <c r="H745" s="1">
        <v>4.7500000000000001E-2</v>
      </c>
      <c r="I745" s="1">
        <v>4.7500000000000001E-2</v>
      </c>
      <c r="J745" s="1">
        <v>0.25779999999999997</v>
      </c>
    </row>
    <row r="746" spans="1:10" x14ac:dyDescent="0.2">
      <c r="A746" t="str">
        <f>"04/09/2023"</f>
        <v>04/09/2023</v>
      </c>
      <c r="B746">
        <v>1</v>
      </c>
      <c r="C746">
        <v>82000</v>
      </c>
      <c r="D746">
        <v>287355</v>
      </c>
      <c r="E746">
        <v>82000</v>
      </c>
      <c r="F746">
        <v>82000</v>
      </c>
      <c r="G746" s="1">
        <v>4.7500000000000001E-2</v>
      </c>
      <c r="H746" s="1">
        <v>4.7500000000000001E-2</v>
      </c>
      <c r="I746" s="1">
        <v>4.7500000000000001E-2</v>
      </c>
      <c r="J746" s="1">
        <v>0.22450000000000001</v>
      </c>
    </row>
    <row r="747" spans="1:10" x14ac:dyDescent="0.2">
      <c r="A747" t="str">
        <f>"03/09/2023"</f>
        <v>03/09/2023</v>
      </c>
      <c r="B747">
        <v>1</v>
      </c>
      <c r="C747">
        <v>77000</v>
      </c>
      <c r="D747">
        <v>272570</v>
      </c>
      <c r="E747">
        <v>77000</v>
      </c>
      <c r="F747">
        <v>77000</v>
      </c>
      <c r="G747" s="1">
        <v>4.7500000000000001E-2</v>
      </c>
      <c r="H747" s="1">
        <v>4.7500000000000001E-2</v>
      </c>
      <c r="I747" s="1">
        <v>4.7500000000000001E-2</v>
      </c>
      <c r="J747" s="1">
        <v>0.22539999999999999</v>
      </c>
    </row>
    <row r="748" spans="1:10" x14ac:dyDescent="0.2">
      <c r="A748" t="str">
        <f>"31/08/2023"</f>
        <v>31/08/2023</v>
      </c>
      <c r="B748">
        <v>3</v>
      </c>
      <c r="C748">
        <v>75000</v>
      </c>
      <c r="D748">
        <v>233199</v>
      </c>
      <c r="E748">
        <v>75000</v>
      </c>
      <c r="F748">
        <v>75000</v>
      </c>
      <c r="G748" s="1">
        <v>4.7500000000000001E-2</v>
      </c>
      <c r="H748" s="1">
        <v>4.7500000000000001E-2</v>
      </c>
      <c r="I748" s="1">
        <v>4.7500000000000001E-2</v>
      </c>
      <c r="J748" s="1">
        <v>0.2535</v>
      </c>
    </row>
    <row r="749" spans="1:10" x14ac:dyDescent="0.2">
      <c r="A749" t="str">
        <f>"30/08/2023"</f>
        <v>30/08/2023</v>
      </c>
      <c r="B749">
        <v>1</v>
      </c>
      <c r="C749">
        <v>66000</v>
      </c>
      <c r="D749">
        <v>223702</v>
      </c>
      <c r="E749">
        <v>66000</v>
      </c>
      <c r="F749">
        <v>66000</v>
      </c>
      <c r="G749" s="1">
        <v>4.7500000000000001E-2</v>
      </c>
      <c r="H749" s="1">
        <v>4.7500000000000001E-2</v>
      </c>
      <c r="I749" s="1">
        <v>4.7500000000000001E-2</v>
      </c>
      <c r="J749" s="1">
        <v>0.2281</v>
      </c>
    </row>
    <row r="750" spans="1:10" x14ac:dyDescent="0.2">
      <c r="A750" t="str">
        <f>"29/08/2023"</f>
        <v>29/08/2023</v>
      </c>
      <c r="B750">
        <v>1</v>
      </c>
      <c r="C750">
        <v>66000</v>
      </c>
      <c r="D750">
        <v>209192</v>
      </c>
      <c r="E750">
        <v>66000</v>
      </c>
      <c r="F750">
        <v>66000</v>
      </c>
      <c r="G750" s="1">
        <v>4.7500000000000001E-2</v>
      </c>
      <c r="H750" s="1">
        <v>4.7500000000000001E-2</v>
      </c>
      <c r="I750" s="1">
        <v>4.7500000000000001E-2</v>
      </c>
      <c r="J750" s="1">
        <v>0.25069999999999998</v>
      </c>
    </row>
    <row r="751" spans="1:10" x14ac:dyDescent="0.2">
      <c r="A751" t="str">
        <f>"28/08/2023"</f>
        <v>28/08/2023</v>
      </c>
      <c r="B751">
        <v>1</v>
      </c>
      <c r="C751">
        <v>66000</v>
      </c>
      <c r="D751">
        <v>206164</v>
      </c>
      <c r="E751">
        <v>66000</v>
      </c>
      <c r="F751">
        <v>66000</v>
      </c>
      <c r="G751" s="1">
        <v>4.7500000000000001E-2</v>
      </c>
      <c r="H751" s="1">
        <v>4.7500000000000001E-2</v>
      </c>
      <c r="I751" s="1">
        <v>4.7500000000000001E-2</v>
      </c>
      <c r="J751" s="1">
        <v>0.25369999999999998</v>
      </c>
    </row>
    <row r="752" spans="1:10" x14ac:dyDescent="0.2">
      <c r="A752" t="str">
        <f>"27/08/2023"</f>
        <v>27/08/2023</v>
      </c>
      <c r="B752">
        <v>1</v>
      </c>
      <c r="C752">
        <v>60000</v>
      </c>
      <c r="D752">
        <v>179578</v>
      </c>
      <c r="E752">
        <v>60000</v>
      </c>
      <c r="F752">
        <v>60000</v>
      </c>
      <c r="G752" s="1">
        <v>4.7500000000000001E-2</v>
      </c>
      <c r="H752" s="1">
        <v>4.7500000000000001E-2</v>
      </c>
      <c r="I752" s="1">
        <v>4.7500000000000001E-2</v>
      </c>
      <c r="J752" s="1">
        <v>0.26079999999999998</v>
      </c>
    </row>
    <row r="753" spans="1:10" x14ac:dyDescent="0.2">
      <c r="A753" t="str">
        <f>"24/08/2023"</f>
        <v>24/08/2023</v>
      </c>
      <c r="B753">
        <v>3</v>
      </c>
      <c r="C753">
        <v>62000</v>
      </c>
      <c r="D753">
        <v>182425</v>
      </c>
      <c r="E753">
        <v>62000</v>
      </c>
      <c r="F753">
        <v>62000</v>
      </c>
      <c r="G753" s="1">
        <v>4.7500000000000001E-2</v>
      </c>
      <c r="H753" s="1">
        <v>4.7500000000000001E-2</v>
      </c>
      <c r="I753" s="1">
        <v>4.7500000000000001E-2</v>
      </c>
      <c r="J753" s="1">
        <v>0.26540000000000002</v>
      </c>
    </row>
    <row r="754" spans="1:10" x14ac:dyDescent="0.2">
      <c r="A754" t="str">
        <f>"23/08/2023"</f>
        <v>23/08/2023</v>
      </c>
      <c r="B754">
        <v>1</v>
      </c>
      <c r="C754">
        <v>63000</v>
      </c>
      <c r="D754">
        <v>193436</v>
      </c>
      <c r="E754">
        <v>63000</v>
      </c>
      <c r="F754">
        <v>63000</v>
      </c>
      <c r="G754" s="1">
        <v>4.7500000000000001E-2</v>
      </c>
      <c r="H754" s="1">
        <v>4.7500000000000001E-2</v>
      </c>
      <c r="I754" s="1">
        <v>4.7500000000000001E-2</v>
      </c>
      <c r="J754" s="1">
        <v>0.23949999999999999</v>
      </c>
    </row>
    <row r="755" spans="1:10" x14ac:dyDescent="0.2">
      <c r="A755" t="str">
        <f>"22/08/2023"</f>
        <v>22/08/2023</v>
      </c>
      <c r="B755">
        <v>1</v>
      </c>
      <c r="C755">
        <v>65000</v>
      </c>
      <c r="D755">
        <v>196768</v>
      </c>
      <c r="E755">
        <v>65000</v>
      </c>
      <c r="F755">
        <v>65000</v>
      </c>
      <c r="G755" s="1">
        <v>4.7500000000000001E-2</v>
      </c>
      <c r="H755" s="1">
        <v>4.7500000000000001E-2</v>
      </c>
      <c r="I755" s="1">
        <v>4.7500000000000001E-2</v>
      </c>
      <c r="J755" s="1">
        <v>0.2472</v>
      </c>
    </row>
    <row r="756" spans="1:10" x14ac:dyDescent="0.2">
      <c r="A756" t="str">
        <f>"21/08/2023"</f>
        <v>21/08/2023</v>
      </c>
      <c r="B756">
        <v>1</v>
      </c>
      <c r="C756">
        <v>65000</v>
      </c>
      <c r="D756">
        <v>184140</v>
      </c>
      <c r="E756">
        <v>65000</v>
      </c>
      <c r="F756">
        <v>65000</v>
      </c>
      <c r="G756" s="1">
        <v>4.7500000000000001E-2</v>
      </c>
      <c r="H756" s="1">
        <v>4.7500000000000001E-2</v>
      </c>
      <c r="I756" s="1">
        <v>4.7500000000000001E-2</v>
      </c>
      <c r="J756" s="1">
        <v>0.26500000000000001</v>
      </c>
    </row>
    <row r="757" spans="1:10" x14ac:dyDescent="0.2">
      <c r="A757" t="str">
        <f>"20/08/2023"</f>
        <v>20/08/2023</v>
      </c>
      <c r="B757">
        <v>1</v>
      </c>
      <c r="C757">
        <v>68000</v>
      </c>
      <c r="D757">
        <v>185136</v>
      </c>
      <c r="E757">
        <v>68000</v>
      </c>
      <c r="F757">
        <v>68000</v>
      </c>
      <c r="G757" s="1">
        <v>4.7500000000000001E-2</v>
      </c>
      <c r="H757" s="1">
        <v>4.7500000000000001E-2</v>
      </c>
      <c r="I757" s="1">
        <v>4.7500000000000001E-2</v>
      </c>
      <c r="J757" s="1">
        <v>0.29599999999999999</v>
      </c>
    </row>
    <row r="758" spans="1:10" x14ac:dyDescent="0.2">
      <c r="A758" t="str">
        <f>"17/08/2023"</f>
        <v>17/08/2023</v>
      </c>
      <c r="B758">
        <v>3</v>
      </c>
      <c r="C758">
        <v>71000</v>
      </c>
      <c r="D758">
        <v>189995</v>
      </c>
      <c r="E758">
        <v>71000</v>
      </c>
      <c r="F758">
        <v>71000</v>
      </c>
      <c r="G758" s="1">
        <v>4.7500000000000001E-2</v>
      </c>
      <c r="H758" s="1">
        <v>4.7500000000000001E-2</v>
      </c>
      <c r="I758" s="1">
        <v>4.7500000000000001E-2</v>
      </c>
      <c r="J758" s="1">
        <v>0.32429999999999998</v>
      </c>
    </row>
    <row r="759" spans="1:10" x14ac:dyDescent="0.2">
      <c r="A759" t="str">
        <f>"16/08/2023"</f>
        <v>16/08/2023</v>
      </c>
      <c r="B759">
        <v>1</v>
      </c>
      <c r="C759">
        <v>74000</v>
      </c>
      <c r="D759">
        <v>180532</v>
      </c>
      <c r="E759">
        <v>74000</v>
      </c>
      <c r="F759">
        <v>74000</v>
      </c>
      <c r="G759" s="1">
        <v>4.7500000000000001E-2</v>
      </c>
      <c r="H759" s="1">
        <v>4.7500000000000001E-2</v>
      </c>
      <c r="I759" s="1">
        <v>4.7500000000000001E-2</v>
      </c>
      <c r="J759" s="1">
        <v>0.34039999999999998</v>
      </c>
    </row>
    <row r="760" spans="1:10" x14ac:dyDescent="0.2">
      <c r="A760" t="str">
        <f>"15/08/2023"</f>
        <v>15/08/2023</v>
      </c>
      <c r="B760">
        <v>1</v>
      </c>
      <c r="C760">
        <v>80000</v>
      </c>
      <c r="D760">
        <v>197419</v>
      </c>
      <c r="E760">
        <v>80000</v>
      </c>
      <c r="F760">
        <v>80000</v>
      </c>
      <c r="G760" s="1">
        <v>4.7500000000000001E-2</v>
      </c>
      <c r="H760" s="1">
        <v>4.7500000000000001E-2</v>
      </c>
      <c r="I760" s="1">
        <v>4.7500000000000001E-2</v>
      </c>
      <c r="J760" s="1">
        <v>0.33729999999999999</v>
      </c>
    </row>
    <row r="761" spans="1:10" x14ac:dyDescent="0.2">
      <c r="A761" t="str">
        <f>"14/08/2023"</f>
        <v>14/08/2023</v>
      </c>
      <c r="B761">
        <v>1</v>
      </c>
      <c r="C761">
        <v>82000</v>
      </c>
      <c r="D761">
        <v>204509</v>
      </c>
      <c r="E761">
        <v>82000</v>
      </c>
      <c r="F761">
        <v>82000</v>
      </c>
      <c r="G761" s="1">
        <v>4.7500000000000001E-2</v>
      </c>
      <c r="H761" s="1">
        <v>4.7500000000000001E-2</v>
      </c>
      <c r="I761" s="1">
        <v>4.7500000000000001E-2</v>
      </c>
      <c r="J761" s="1">
        <v>0.33660000000000001</v>
      </c>
    </row>
    <row r="762" spans="1:10" x14ac:dyDescent="0.2">
      <c r="A762" t="str">
        <f>"13/08/2023"</f>
        <v>13/08/2023</v>
      </c>
      <c r="B762">
        <v>1</v>
      </c>
      <c r="C762">
        <v>83000</v>
      </c>
      <c r="D762">
        <v>204749</v>
      </c>
      <c r="E762">
        <v>83000</v>
      </c>
      <c r="F762">
        <v>83000</v>
      </c>
      <c r="G762" s="1">
        <v>4.7500000000000001E-2</v>
      </c>
      <c r="H762" s="1">
        <v>4.7500000000000001E-2</v>
      </c>
      <c r="I762" s="1">
        <v>4.7500000000000001E-2</v>
      </c>
      <c r="J762" s="1">
        <v>0.33979999999999999</v>
      </c>
    </row>
    <row r="763" spans="1:10" x14ac:dyDescent="0.2">
      <c r="A763" t="str">
        <f>"10/08/2023"</f>
        <v>10/08/2023</v>
      </c>
      <c r="B763">
        <v>3</v>
      </c>
      <c r="C763">
        <v>81000</v>
      </c>
      <c r="D763">
        <v>216728</v>
      </c>
      <c r="E763">
        <v>81000</v>
      </c>
      <c r="F763">
        <v>81000</v>
      </c>
      <c r="G763" s="1">
        <v>4.7500000000000001E-2</v>
      </c>
      <c r="H763" s="1">
        <v>4.7500000000000001E-2</v>
      </c>
      <c r="I763" s="1">
        <v>4.7500000000000001E-2</v>
      </c>
      <c r="J763" s="1">
        <v>0.31690000000000002</v>
      </c>
    </row>
    <row r="764" spans="1:10" x14ac:dyDescent="0.2">
      <c r="A764" t="str">
        <f>"09/08/2023"</f>
        <v>09/08/2023</v>
      </c>
      <c r="B764">
        <v>1</v>
      </c>
      <c r="C764">
        <v>81000</v>
      </c>
      <c r="D764">
        <v>222288</v>
      </c>
      <c r="E764">
        <v>81000</v>
      </c>
      <c r="F764">
        <v>81000</v>
      </c>
      <c r="G764" s="1">
        <v>4.7500000000000001E-2</v>
      </c>
      <c r="H764" s="1">
        <v>4.7500000000000001E-2</v>
      </c>
      <c r="I764" s="1">
        <v>4.7500000000000001E-2</v>
      </c>
      <c r="J764" s="1">
        <v>0.30969999999999998</v>
      </c>
    </row>
    <row r="765" spans="1:10" x14ac:dyDescent="0.2">
      <c r="A765" t="str">
        <f>"08/08/2023"</f>
        <v>08/08/2023</v>
      </c>
      <c r="B765">
        <v>1</v>
      </c>
      <c r="C765">
        <v>81000</v>
      </c>
      <c r="D765">
        <v>219618</v>
      </c>
      <c r="E765">
        <v>81000</v>
      </c>
      <c r="F765">
        <v>81000</v>
      </c>
      <c r="G765" s="1">
        <v>4.7500000000000001E-2</v>
      </c>
      <c r="H765" s="1">
        <v>4.7500000000000001E-2</v>
      </c>
      <c r="I765" s="1">
        <v>4.7500000000000001E-2</v>
      </c>
      <c r="J765" s="1">
        <v>0.31540000000000001</v>
      </c>
    </row>
    <row r="766" spans="1:10" x14ac:dyDescent="0.2">
      <c r="A766" t="str">
        <f>"07/08/2023"</f>
        <v>07/08/2023</v>
      </c>
      <c r="B766">
        <v>1</v>
      </c>
      <c r="C766">
        <v>81000</v>
      </c>
      <c r="D766">
        <v>215268</v>
      </c>
      <c r="E766">
        <v>81000</v>
      </c>
      <c r="F766">
        <v>81000</v>
      </c>
      <c r="G766" s="1">
        <v>4.7500000000000001E-2</v>
      </c>
      <c r="H766" s="1">
        <v>4.7500000000000001E-2</v>
      </c>
      <c r="I766" s="1">
        <v>4.7500000000000001E-2</v>
      </c>
      <c r="J766" s="1">
        <v>0.316</v>
      </c>
    </row>
    <row r="767" spans="1:10" x14ac:dyDescent="0.2">
      <c r="A767" t="str">
        <f>"06/08/2023"</f>
        <v>06/08/2023</v>
      </c>
      <c r="B767">
        <v>1</v>
      </c>
      <c r="C767">
        <v>81000</v>
      </c>
      <c r="D767">
        <v>217259</v>
      </c>
      <c r="E767">
        <v>81000</v>
      </c>
      <c r="F767">
        <v>81000</v>
      </c>
      <c r="G767" s="1">
        <v>4.7500000000000001E-2</v>
      </c>
      <c r="H767" s="1">
        <v>4.7500000000000001E-2</v>
      </c>
      <c r="I767" s="1">
        <v>4.7500000000000001E-2</v>
      </c>
      <c r="J767" s="1">
        <v>0.31619999999999998</v>
      </c>
    </row>
    <row r="768" spans="1:10" x14ac:dyDescent="0.2">
      <c r="A768" t="str">
        <f>"03/08/2023"</f>
        <v>03/08/2023</v>
      </c>
      <c r="B768">
        <v>3</v>
      </c>
      <c r="C768">
        <v>82000</v>
      </c>
      <c r="D768">
        <v>214609</v>
      </c>
      <c r="E768">
        <v>82000</v>
      </c>
      <c r="F768">
        <v>82000</v>
      </c>
      <c r="G768" s="1">
        <v>4.7500000000000001E-2</v>
      </c>
      <c r="H768" s="1">
        <v>4.7500000000000001E-2</v>
      </c>
      <c r="I768" s="1">
        <v>4.7500000000000001E-2</v>
      </c>
      <c r="J768" s="1">
        <v>0.32590000000000002</v>
      </c>
    </row>
    <row r="769" spans="1:10" x14ac:dyDescent="0.2">
      <c r="A769" t="str">
        <f>"02/08/2023"</f>
        <v>02/08/2023</v>
      </c>
      <c r="B769">
        <v>1</v>
      </c>
      <c r="C769">
        <v>84000</v>
      </c>
      <c r="D769">
        <v>226014</v>
      </c>
      <c r="E769">
        <v>84000</v>
      </c>
      <c r="F769">
        <v>84000</v>
      </c>
      <c r="G769" s="1">
        <v>4.7500000000000001E-2</v>
      </c>
      <c r="H769" s="1">
        <v>4.7500000000000001E-2</v>
      </c>
      <c r="I769" s="1">
        <v>4.7500000000000001E-2</v>
      </c>
      <c r="J769" s="1">
        <v>0.31559999999999999</v>
      </c>
    </row>
    <row r="770" spans="1:10" x14ac:dyDescent="0.2">
      <c r="A770" t="str">
        <f>"01/08/2023"</f>
        <v>01/08/2023</v>
      </c>
      <c r="B770">
        <v>1</v>
      </c>
      <c r="C770">
        <v>95000</v>
      </c>
      <c r="D770">
        <v>243223</v>
      </c>
      <c r="E770">
        <v>95000</v>
      </c>
      <c r="F770">
        <v>95000</v>
      </c>
      <c r="G770" s="1">
        <v>4.7500000000000001E-2</v>
      </c>
      <c r="H770" s="1">
        <v>4.7500000000000001E-2</v>
      </c>
      <c r="I770" s="1">
        <v>4.7500000000000001E-2</v>
      </c>
      <c r="J770" s="1">
        <v>0.33679999999999999</v>
      </c>
    </row>
    <row r="771" spans="1:10" x14ac:dyDescent="0.2">
      <c r="A771" t="str">
        <f>"31/07/2023"</f>
        <v>31/07/2023</v>
      </c>
      <c r="B771">
        <v>1</v>
      </c>
      <c r="C771">
        <v>84000</v>
      </c>
      <c r="D771">
        <v>191861</v>
      </c>
      <c r="E771">
        <v>84000</v>
      </c>
      <c r="F771">
        <v>84000</v>
      </c>
      <c r="G771" s="1">
        <v>4.7500000000000001E-2</v>
      </c>
      <c r="H771" s="1">
        <v>4.7500000000000001E-2</v>
      </c>
      <c r="I771" s="1">
        <v>4.7500000000000001E-2</v>
      </c>
      <c r="J771" s="1">
        <v>0.33139999999999997</v>
      </c>
    </row>
    <row r="772" spans="1:10" x14ac:dyDescent="0.2">
      <c r="A772" t="str">
        <f>"30/07/2023"</f>
        <v>30/07/2023</v>
      </c>
      <c r="B772">
        <v>1</v>
      </c>
      <c r="C772">
        <v>66000</v>
      </c>
      <c r="D772">
        <v>141089</v>
      </c>
      <c r="E772">
        <v>66000</v>
      </c>
      <c r="F772">
        <v>66000</v>
      </c>
      <c r="G772" s="1">
        <v>4.7500000000000001E-2</v>
      </c>
      <c r="H772" s="1">
        <v>4.7500000000000001E-2</v>
      </c>
      <c r="I772" s="1">
        <v>4.7500000000000001E-2</v>
      </c>
      <c r="J772" s="1">
        <v>0.31979999999999997</v>
      </c>
    </row>
    <row r="773" spans="1:10" x14ac:dyDescent="0.2">
      <c r="A773" t="str">
        <f>"26/07/2023"</f>
        <v>26/07/2023</v>
      </c>
      <c r="B773">
        <v>4</v>
      </c>
      <c r="C773">
        <v>61000</v>
      </c>
      <c r="D773">
        <v>140510</v>
      </c>
      <c r="E773">
        <v>61000</v>
      </c>
      <c r="F773">
        <v>61000</v>
      </c>
      <c r="G773" s="1">
        <v>4.7500000000000001E-2</v>
      </c>
      <c r="H773" s="1">
        <v>4.7500000000000001E-2</v>
      </c>
      <c r="I773" s="1">
        <v>4.7500000000000001E-2</v>
      </c>
      <c r="J773" s="1">
        <v>0.37569999999999998</v>
      </c>
    </row>
    <row r="774" spans="1:10" x14ac:dyDescent="0.2">
      <c r="A774" t="str">
        <f>"25/07/2023"</f>
        <v>25/07/2023</v>
      </c>
      <c r="B774">
        <v>1</v>
      </c>
      <c r="C774">
        <v>64000</v>
      </c>
      <c r="D774">
        <v>143244</v>
      </c>
      <c r="E774">
        <v>64000</v>
      </c>
      <c r="F774">
        <v>64000</v>
      </c>
      <c r="G774" s="1">
        <v>4.7500000000000001E-2</v>
      </c>
      <c r="H774" s="1">
        <v>4.7500000000000001E-2</v>
      </c>
      <c r="I774" s="1">
        <v>4.7500000000000001E-2</v>
      </c>
      <c r="J774" s="1">
        <v>0.38569999999999999</v>
      </c>
    </row>
    <row r="775" spans="1:10" x14ac:dyDescent="0.2">
      <c r="A775" t="str">
        <f>"24/07/2023"</f>
        <v>24/07/2023</v>
      </c>
      <c r="B775">
        <v>1</v>
      </c>
      <c r="C775">
        <v>65000</v>
      </c>
      <c r="D775">
        <v>146050</v>
      </c>
      <c r="E775">
        <v>65000</v>
      </c>
      <c r="F775">
        <v>65000</v>
      </c>
      <c r="G775" s="1">
        <v>4.7500000000000001E-2</v>
      </c>
      <c r="H775" s="1">
        <v>4.7500000000000001E-2</v>
      </c>
      <c r="I775" s="1">
        <v>4.7500000000000001E-2</v>
      </c>
      <c r="J775" s="1">
        <v>0.38090000000000002</v>
      </c>
    </row>
    <row r="776" spans="1:10" x14ac:dyDescent="0.2">
      <c r="A776" t="str">
        <f>"23/07/2023"</f>
        <v>23/07/2023</v>
      </c>
      <c r="B776">
        <v>1</v>
      </c>
      <c r="C776">
        <v>67000</v>
      </c>
      <c r="D776">
        <v>158118</v>
      </c>
      <c r="E776">
        <v>67000</v>
      </c>
      <c r="F776">
        <v>67000</v>
      </c>
      <c r="G776" s="1">
        <v>4.7500000000000001E-2</v>
      </c>
      <c r="H776" s="1">
        <v>4.7500000000000001E-2</v>
      </c>
      <c r="I776" s="1">
        <v>4.7500000000000001E-2</v>
      </c>
      <c r="J776" s="1">
        <v>0.37219999999999998</v>
      </c>
    </row>
    <row r="777" spans="1:10" x14ac:dyDescent="0.2">
      <c r="A777" t="str">
        <f>"20/07/2023"</f>
        <v>20/07/2023</v>
      </c>
      <c r="B777">
        <v>3</v>
      </c>
      <c r="C777">
        <v>71000</v>
      </c>
      <c r="D777">
        <v>168951</v>
      </c>
      <c r="E777">
        <v>71000</v>
      </c>
      <c r="F777">
        <v>71000</v>
      </c>
      <c r="G777" s="1">
        <v>4.7500000000000001E-2</v>
      </c>
      <c r="H777" s="1">
        <v>4.7500000000000001E-2</v>
      </c>
      <c r="I777" s="1">
        <v>4.7500000000000001E-2</v>
      </c>
      <c r="J777" s="1">
        <v>0.35360000000000003</v>
      </c>
    </row>
    <row r="778" spans="1:10" x14ac:dyDescent="0.2">
      <c r="A778" t="str">
        <f>"19/07/2023"</f>
        <v>19/07/2023</v>
      </c>
      <c r="B778">
        <v>1</v>
      </c>
      <c r="C778">
        <v>73000</v>
      </c>
      <c r="D778">
        <v>196700</v>
      </c>
      <c r="E778">
        <v>73000</v>
      </c>
      <c r="F778">
        <v>73000</v>
      </c>
      <c r="G778" s="1">
        <v>4.7500000000000001E-2</v>
      </c>
      <c r="H778" s="1">
        <v>4.7500000000000001E-2</v>
      </c>
      <c r="I778" s="1">
        <v>4.7500000000000001E-2</v>
      </c>
      <c r="J778" s="1">
        <v>0.3039</v>
      </c>
    </row>
    <row r="779" spans="1:10" x14ac:dyDescent="0.2">
      <c r="A779" t="str">
        <f>"18/07/2023"</f>
        <v>18/07/2023</v>
      </c>
      <c r="B779">
        <v>1</v>
      </c>
      <c r="C779">
        <v>76000</v>
      </c>
      <c r="D779">
        <v>186648</v>
      </c>
      <c r="E779">
        <v>76000</v>
      </c>
      <c r="F779">
        <v>76000</v>
      </c>
      <c r="G779" s="1">
        <v>4.7500000000000001E-2</v>
      </c>
      <c r="H779" s="1">
        <v>4.7500000000000001E-2</v>
      </c>
      <c r="I779" s="1">
        <v>4.7500000000000001E-2</v>
      </c>
      <c r="J779" s="1">
        <v>0.34310000000000002</v>
      </c>
    </row>
    <row r="780" spans="1:10" x14ac:dyDescent="0.2">
      <c r="A780" t="str">
        <f>"17/07/2023"</f>
        <v>17/07/2023</v>
      </c>
      <c r="B780">
        <v>1</v>
      </c>
      <c r="C780">
        <v>78000</v>
      </c>
      <c r="D780">
        <v>182440</v>
      </c>
      <c r="E780">
        <v>78000</v>
      </c>
      <c r="F780">
        <v>78000</v>
      </c>
      <c r="G780" s="1">
        <v>4.7500000000000001E-2</v>
      </c>
      <c r="H780" s="1">
        <v>4.7500000000000001E-2</v>
      </c>
      <c r="I780" s="1">
        <v>4.7500000000000001E-2</v>
      </c>
      <c r="J780" s="1">
        <v>0.36</v>
      </c>
    </row>
    <row r="781" spans="1:10" x14ac:dyDescent="0.2">
      <c r="A781" t="str">
        <f>"16/07/2023"</f>
        <v>16/07/2023</v>
      </c>
      <c r="B781">
        <v>1</v>
      </c>
      <c r="C781">
        <v>84000</v>
      </c>
      <c r="D781">
        <v>169344</v>
      </c>
      <c r="E781">
        <v>84000</v>
      </c>
      <c r="F781">
        <v>84000</v>
      </c>
      <c r="G781" s="1">
        <v>4.7500000000000001E-2</v>
      </c>
      <c r="H781" s="1">
        <v>4.7500000000000001E-2</v>
      </c>
      <c r="I781" s="1">
        <v>4.7500000000000001E-2</v>
      </c>
      <c r="J781" s="1">
        <v>0.40960000000000002</v>
      </c>
    </row>
    <row r="782" spans="1:10" x14ac:dyDescent="0.2">
      <c r="A782" t="str">
        <f>"13/07/2023"</f>
        <v>13/07/2023</v>
      </c>
      <c r="B782">
        <v>3</v>
      </c>
      <c r="C782">
        <v>87000</v>
      </c>
      <c r="D782">
        <v>160353</v>
      </c>
      <c r="E782">
        <v>87000</v>
      </c>
      <c r="F782">
        <v>87000</v>
      </c>
      <c r="G782" s="1">
        <v>4.7500000000000001E-2</v>
      </c>
      <c r="H782" s="1">
        <v>4.7500000000000001E-2</v>
      </c>
      <c r="I782" s="1">
        <v>4.7500000000000001E-2</v>
      </c>
      <c r="J782" s="1">
        <v>0.50090000000000001</v>
      </c>
    </row>
    <row r="783" spans="1:10" x14ac:dyDescent="0.2">
      <c r="A783" t="str">
        <f>"12/07/2023"</f>
        <v>12/07/2023</v>
      </c>
      <c r="B783">
        <v>1</v>
      </c>
      <c r="C783">
        <v>95000</v>
      </c>
      <c r="D783">
        <v>90418</v>
      </c>
      <c r="E783">
        <v>90418</v>
      </c>
      <c r="F783">
        <v>90418</v>
      </c>
      <c r="G783" s="1">
        <v>4.7500000000000001E-2</v>
      </c>
      <c r="H783" s="1">
        <v>4.7500000000000001E-2</v>
      </c>
      <c r="I783" s="1">
        <v>4.7500000000000001E-2</v>
      </c>
      <c r="J783" s="1">
        <v>1</v>
      </c>
    </row>
    <row r="784" spans="1:10" x14ac:dyDescent="0.2">
      <c r="A784" t="str">
        <f>"11/07/2023"</f>
        <v>11/07/2023</v>
      </c>
      <c r="B784">
        <v>1</v>
      </c>
      <c r="C784">
        <v>86000</v>
      </c>
      <c r="D784">
        <v>218412</v>
      </c>
      <c r="E784">
        <v>86000</v>
      </c>
      <c r="F784">
        <v>86000</v>
      </c>
      <c r="G784" s="1">
        <v>4.7500000000000001E-2</v>
      </c>
      <c r="H784" s="1">
        <v>4.7500000000000001E-2</v>
      </c>
      <c r="I784" s="1">
        <v>4.7500000000000001E-2</v>
      </c>
      <c r="J784" s="1">
        <v>0.29260000000000003</v>
      </c>
    </row>
    <row r="785" spans="1:10" x14ac:dyDescent="0.2">
      <c r="A785" t="str">
        <f>"10/07/2023"</f>
        <v>10/07/2023</v>
      </c>
      <c r="B785">
        <v>1</v>
      </c>
      <c r="C785">
        <v>85000</v>
      </c>
      <c r="D785">
        <v>224552</v>
      </c>
      <c r="E785">
        <v>85000</v>
      </c>
      <c r="F785">
        <v>85000</v>
      </c>
      <c r="G785" s="1">
        <v>4.7500000000000001E-2</v>
      </c>
      <c r="H785" s="1">
        <v>4.7500000000000001E-2</v>
      </c>
      <c r="I785" s="1">
        <v>4.7500000000000001E-2</v>
      </c>
      <c r="J785" s="1">
        <v>0.32</v>
      </c>
    </row>
    <row r="786" spans="1:10" x14ac:dyDescent="0.2">
      <c r="A786" t="str">
        <f>"09/07/2023"</f>
        <v>09/07/2023</v>
      </c>
      <c r="B786">
        <v>1</v>
      </c>
      <c r="C786">
        <v>84000</v>
      </c>
      <c r="D786">
        <v>222043</v>
      </c>
      <c r="E786">
        <v>84000</v>
      </c>
      <c r="F786">
        <v>84000</v>
      </c>
      <c r="G786" s="1">
        <v>4.7500000000000001E-2</v>
      </c>
      <c r="H786" s="1">
        <v>4.7500000000000001E-2</v>
      </c>
      <c r="I786" s="1">
        <v>4.7500000000000001E-2</v>
      </c>
      <c r="J786" s="1">
        <v>0.32240000000000002</v>
      </c>
    </row>
    <row r="787" spans="1:10" x14ac:dyDescent="0.2">
      <c r="A787" t="str">
        <f>"06/07/2023"</f>
        <v>06/07/2023</v>
      </c>
      <c r="B787">
        <v>3</v>
      </c>
      <c r="C787">
        <v>83000</v>
      </c>
      <c r="D787">
        <v>210654</v>
      </c>
      <c r="E787">
        <v>83000</v>
      </c>
      <c r="F787">
        <v>83000</v>
      </c>
      <c r="G787" s="1">
        <v>4.7500000000000001E-2</v>
      </c>
      <c r="H787" s="1">
        <v>4.7500000000000001E-2</v>
      </c>
      <c r="I787" s="1">
        <v>4.7500000000000001E-2</v>
      </c>
      <c r="J787" s="1">
        <v>0.34029999999999999</v>
      </c>
    </row>
    <row r="788" spans="1:10" x14ac:dyDescent="0.2">
      <c r="A788" t="str">
        <f>"05/07/2023"</f>
        <v>05/07/2023</v>
      </c>
      <c r="B788">
        <v>1</v>
      </c>
      <c r="C788">
        <v>83000</v>
      </c>
      <c r="D788">
        <v>223263</v>
      </c>
      <c r="E788">
        <v>83000</v>
      </c>
      <c r="F788">
        <v>83000</v>
      </c>
      <c r="G788" s="1">
        <v>4.7500000000000001E-2</v>
      </c>
      <c r="H788" s="1">
        <v>4.7500000000000001E-2</v>
      </c>
      <c r="I788" s="1">
        <v>4.7500000000000001E-2</v>
      </c>
      <c r="J788" s="1">
        <v>0.33339999999999997</v>
      </c>
    </row>
    <row r="789" spans="1:10" x14ac:dyDescent="0.2">
      <c r="A789" t="str">
        <f>"04/07/2023"</f>
        <v>04/07/2023</v>
      </c>
      <c r="B789">
        <v>1</v>
      </c>
      <c r="C789">
        <v>92000</v>
      </c>
      <c r="D789">
        <v>231510</v>
      </c>
      <c r="E789">
        <v>92000</v>
      </c>
      <c r="F789">
        <v>92000</v>
      </c>
      <c r="G789" s="1">
        <v>4.7500000000000001E-2</v>
      </c>
      <c r="H789" s="1">
        <v>4.7500000000000001E-2</v>
      </c>
      <c r="I789" s="1">
        <v>4.7500000000000001E-2</v>
      </c>
      <c r="J789" s="1">
        <v>0.36309999999999998</v>
      </c>
    </row>
    <row r="790" spans="1:10" x14ac:dyDescent="0.2">
      <c r="A790" t="str">
        <f>"03/07/2023"</f>
        <v>03/07/2023</v>
      </c>
      <c r="B790">
        <v>1</v>
      </c>
      <c r="C790">
        <v>92000</v>
      </c>
      <c r="D790">
        <v>223829</v>
      </c>
      <c r="E790">
        <v>92000</v>
      </c>
      <c r="F790">
        <v>92000</v>
      </c>
      <c r="G790" s="1">
        <v>4.7500000000000001E-2</v>
      </c>
      <c r="H790" s="1">
        <v>4.7500000000000001E-2</v>
      </c>
      <c r="I790" s="1">
        <v>4.7500000000000001E-2</v>
      </c>
      <c r="J790" s="1">
        <v>0.3745</v>
      </c>
    </row>
    <row r="791" spans="1:10" x14ac:dyDescent="0.2">
      <c r="A791" t="str">
        <f>"02/07/2023"</f>
        <v>02/07/2023</v>
      </c>
      <c r="B791">
        <v>1</v>
      </c>
      <c r="C791">
        <v>89000</v>
      </c>
      <c r="D791">
        <v>215414</v>
      </c>
      <c r="E791">
        <v>89000</v>
      </c>
      <c r="F791">
        <v>89000</v>
      </c>
      <c r="G791" s="1">
        <v>4.7500000000000001E-2</v>
      </c>
      <c r="H791" s="1">
        <v>4.7500000000000001E-2</v>
      </c>
      <c r="I791" s="1">
        <v>4.7500000000000001E-2</v>
      </c>
      <c r="J791" s="1">
        <v>0.37740000000000001</v>
      </c>
    </row>
    <row r="792" spans="1:10" x14ac:dyDescent="0.2">
      <c r="A792" t="str">
        <f>"29/06/2023"</f>
        <v>29/06/2023</v>
      </c>
      <c r="B792">
        <v>3</v>
      </c>
      <c r="C792">
        <v>79000</v>
      </c>
      <c r="D792">
        <v>190356</v>
      </c>
      <c r="E792">
        <v>79000</v>
      </c>
      <c r="F792">
        <v>79000</v>
      </c>
      <c r="G792" s="1">
        <v>4.7500000000000001E-2</v>
      </c>
      <c r="H792" s="1">
        <v>4.7500000000000001E-2</v>
      </c>
      <c r="I792" s="1">
        <v>4.7500000000000001E-2</v>
      </c>
      <c r="J792" s="1">
        <v>0.38240000000000002</v>
      </c>
    </row>
    <row r="793" spans="1:10" x14ac:dyDescent="0.2">
      <c r="A793" t="str">
        <f>"28/06/2023"</f>
        <v>28/06/2023</v>
      </c>
      <c r="B793">
        <v>1</v>
      </c>
      <c r="C793">
        <v>71000</v>
      </c>
      <c r="D793">
        <v>184909</v>
      </c>
      <c r="E793">
        <v>71000</v>
      </c>
      <c r="F793">
        <v>71000</v>
      </c>
      <c r="G793" s="1">
        <v>4.7500000000000001E-2</v>
      </c>
      <c r="H793" s="1">
        <v>4.7500000000000001E-2</v>
      </c>
      <c r="I793" s="1">
        <v>4.7500000000000001E-2</v>
      </c>
      <c r="J793" s="1">
        <v>0.3342</v>
      </c>
    </row>
    <row r="794" spans="1:10" x14ac:dyDescent="0.2">
      <c r="A794" t="str">
        <f>"27/06/2023"</f>
        <v>27/06/2023</v>
      </c>
      <c r="B794">
        <v>1</v>
      </c>
      <c r="C794">
        <v>72000</v>
      </c>
      <c r="D794">
        <v>183435</v>
      </c>
      <c r="E794">
        <v>72000</v>
      </c>
      <c r="F794">
        <v>72000</v>
      </c>
      <c r="G794" s="1">
        <v>4.7500000000000001E-2</v>
      </c>
      <c r="H794" s="1">
        <v>4.7500000000000001E-2</v>
      </c>
      <c r="I794" s="1">
        <v>4.7500000000000001E-2</v>
      </c>
      <c r="J794" s="1">
        <v>0.35020000000000001</v>
      </c>
    </row>
    <row r="795" spans="1:10" x14ac:dyDescent="0.2">
      <c r="A795" t="str">
        <f>"26/06/2023"</f>
        <v>26/06/2023</v>
      </c>
      <c r="B795">
        <v>1</v>
      </c>
      <c r="C795">
        <v>74000</v>
      </c>
      <c r="D795">
        <v>168295</v>
      </c>
      <c r="E795">
        <v>74000</v>
      </c>
      <c r="F795">
        <v>74000</v>
      </c>
      <c r="G795" s="1">
        <v>4.7500000000000001E-2</v>
      </c>
      <c r="H795" s="1">
        <v>4.7500000000000001E-2</v>
      </c>
      <c r="I795" s="1">
        <v>4.7500000000000001E-2</v>
      </c>
      <c r="J795" s="1">
        <v>0.38619999999999999</v>
      </c>
    </row>
    <row r="796" spans="1:10" x14ac:dyDescent="0.2">
      <c r="A796" t="str">
        <f>"25/06/2023"</f>
        <v>25/06/2023</v>
      </c>
      <c r="B796">
        <v>1</v>
      </c>
      <c r="C796">
        <v>76000</v>
      </c>
      <c r="D796">
        <v>164885</v>
      </c>
      <c r="E796">
        <v>76000</v>
      </c>
      <c r="F796">
        <v>76000</v>
      </c>
      <c r="G796" s="1">
        <v>4.7500000000000001E-2</v>
      </c>
      <c r="H796" s="1">
        <v>4.7500000000000001E-2</v>
      </c>
      <c r="I796" s="1">
        <v>4.7500000000000001E-2</v>
      </c>
      <c r="J796" s="1">
        <v>0.40489999999999998</v>
      </c>
    </row>
    <row r="797" spans="1:10" x14ac:dyDescent="0.2">
      <c r="A797" t="str">
        <f>"22/06/2023"</f>
        <v>22/06/2023</v>
      </c>
      <c r="B797">
        <v>3</v>
      </c>
      <c r="C797">
        <v>70000</v>
      </c>
      <c r="D797">
        <v>155276</v>
      </c>
      <c r="E797">
        <v>70000</v>
      </c>
      <c r="F797">
        <v>70000</v>
      </c>
      <c r="G797" s="1">
        <v>4.7500000000000001E-2</v>
      </c>
      <c r="H797" s="1">
        <v>4.7500000000000001E-2</v>
      </c>
      <c r="I797" s="1">
        <v>4.7500000000000001E-2</v>
      </c>
      <c r="J797" s="1">
        <v>0.4148</v>
      </c>
    </row>
    <row r="798" spans="1:10" x14ac:dyDescent="0.2">
      <c r="A798" t="str">
        <f>"21/06/2023"</f>
        <v>21/06/2023</v>
      </c>
      <c r="B798">
        <v>1</v>
      </c>
      <c r="C798">
        <v>73000</v>
      </c>
      <c r="D798">
        <v>154542</v>
      </c>
      <c r="E798">
        <v>73000</v>
      </c>
      <c r="F798">
        <v>73000</v>
      </c>
      <c r="G798" s="1">
        <v>4.7500000000000001E-2</v>
      </c>
      <c r="H798" s="1">
        <v>4.7500000000000001E-2</v>
      </c>
      <c r="I798" s="1">
        <v>4.7500000000000001E-2</v>
      </c>
      <c r="J798" s="1">
        <v>0.42870000000000003</v>
      </c>
    </row>
    <row r="799" spans="1:10" x14ac:dyDescent="0.2">
      <c r="A799" t="str">
        <f>"20/06/2023"</f>
        <v>20/06/2023</v>
      </c>
      <c r="B799">
        <v>1</v>
      </c>
      <c r="C799">
        <v>76000</v>
      </c>
      <c r="D799">
        <v>163101</v>
      </c>
      <c r="E799">
        <v>76000</v>
      </c>
      <c r="F799">
        <v>76000</v>
      </c>
      <c r="G799" s="1">
        <v>4.7500000000000001E-2</v>
      </c>
      <c r="H799" s="1">
        <v>4.7500000000000001E-2</v>
      </c>
      <c r="I799" s="1">
        <v>4.7500000000000001E-2</v>
      </c>
      <c r="J799" s="1">
        <v>0.4304</v>
      </c>
    </row>
    <row r="800" spans="1:10" x14ac:dyDescent="0.2">
      <c r="A800" t="str">
        <f>"19/06/2023"</f>
        <v>19/06/2023</v>
      </c>
      <c r="B800">
        <v>1</v>
      </c>
      <c r="C800">
        <v>79000</v>
      </c>
      <c r="D800">
        <v>181951</v>
      </c>
      <c r="E800">
        <v>79000</v>
      </c>
      <c r="F800">
        <v>79000</v>
      </c>
      <c r="G800" s="1">
        <v>4.7500000000000001E-2</v>
      </c>
      <c r="H800" s="1">
        <v>4.7500000000000001E-2</v>
      </c>
      <c r="I800" s="1">
        <v>4.7500000000000001E-2</v>
      </c>
      <c r="J800" s="1">
        <v>0.38879999999999998</v>
      </c>
    </row>
    <row r="801" spans="1:10" x14ac:dyDescent="0.2">
      <c r="A801" t="str">
        <f>"18/06/2023"</f>
        <v>18/06/2023</v>
      </c>
      <c r="B801">
        <v>1</v>
      </c>
      <c r="C801">
        <v>80000</v>
      </c>
      <c r="D801">
        <v>186816</v>
      </c>
      <c r="E801">
        <v>80000</v>
      </c>
      <c r="F801">
        <v>80000</v>
      </c>
      <c r="G801" s="1">
        <v>4.7500000000000001E-2</v>
      </c>
      <c r="H801" s="1">
        <v>4.7500000000000001E-2</v>
      </c>
      <c r="I801" s="1">
        <v>4.7500000000000001E-2</v>
      </c>
      <c r="J801" s="1">
        <v>0.38329999999999997</v>
      </c>
    </row>
    <row r="802" spans="1:10" x14ac:dyDescent="0.2">
      <c r="A802" t="str">
        <f>"15/06/2023"</f>
        <v>15/06/2023</v>
      </c>
      <c r="B802">
        <v>3</v>
      </c>
      <c r="C802">
        <v>83000</v>
      </c>
      <c r="D802">
        <v>205274</v>
      </c>
      <c r="E802">
        <v>83000</v>
      </c>
      <c r="F802">
        <v>83000</v>
      </c>
      <c r="G802" s="1">
        <v>4.7500000000000001E-2</v>
      </c>
      <c r="H802" s="1">
        <v>4.7500000000000001E-2</v>
      </c>
      <c r="I802" s="1">
        <v>4.7500000000000001E-2</v>
      </c>
      <c r="J802" s="1">
        <v>0.36580000000000001</v>
      </c>
    </row>
    <row r="803" spans="1:10" x14ac:dyDescent="0.2">
      <c r="A803" t="str">
        <f>"14/06/2023"</f>
        <v>14/06/2023</v>
      </c>
      <c r="B803">
        <v>1</v>
      </c>
      <c r="C803">
        <v>89000</v>
      </c>
      <c r="D803">
        <v>223223</v>
      </c>
      <c r="E803">
        <v>89000</v>
      </c>
      <c r="F803">
        <v>89000</v>
      </c>
      <c r="G803" s="1">
        <v>4.7500000000000001E-2</v>
      </c>
      <c r="H803" s="1">
        <v>4.7500000000000001E-2</v>
      </c>
      <c r="I803" s="1">
        <v>4.7500000000000001E-2</v>
      </c>
      <c r="J803" s="1">
        <v>0.35199999999999998</v>
      </c>
    </row>
    <row r="804" spans="1:10" x14ac:dyDescent="0.2">
      <c r="A804" t="str">
        <f>"13/06/2023"</f>
        <v>13/06/2023</v>
      </c>
      <c r="B804">
        <v>1</v>
      </c>
      <c r="C804">
        <v>90000</v>
      </c>
      <c r="D804">
        <v>229535</v>
      </c>
      <c r="E804">
        <v>90000</v>
      </c>
      <c r="F804">
        <v>90000</v>
      </c>
      <c r="G804" s="1">
        <v>4.7500000000000001E-2</v>
      </c>
      <c r="H804" s="1">
        <v>4.7500000000000001E-2</v>
      </c>
      <c r="I804" s="1">
        <v>4.7500000000000001E-2</v>
      </c>
      <c r="J804" s="1">
        <v>0.3483</v>
      </c>
    </row>
    <row r="805" spans="1:10" x14ac:dyDescent="0.2">
      <c r="A805" t="str">
        <f>"12/06/2023"</f>
        <v>12/06/2023</v>
      </c>
      <c r="B805">
        <v>1</v>
      </c>
      <c r="C805">
        <v>90000</v>
      </c>
      <c r="D805">
        <v>232371</v>
      </c>
      <c r="E805">
        <v>90000</v>
      </c>
      <c r="F805">
        <v>90000</v>
      </c>
      <c r="G805" s="1">
        <v>4.7500000000000001E-2</v>
      </c>
      <c r="H805" s="1">
        <v>4.7500000000000001E-2</v>
      </c>
      <c r="I805" s="1">
        <v>4.7500000000000001E-2</v>
      </c>
      <c r="J805" s="1">
        <v>0.33200000000000002</v>
      </c>
    </row>
    <row r="806" spans="1:10" x14ac:dyDescent="0.2">
      <c r="A806" t="str">
        <f>"11/06/2023"</f>
        <v>11/06/2023</v>
      </c>
      <c r="B806">
        <v>1</v>
      </c>
      <c r="C806">
        <v>89000</v>
      </c>
      <c r="D806">
        <v>239439</v>
      </c>
      <c r="E806">
        <v>89000</v>
      </c>
      <c r="F806">
        <v>89000</v>
      </c>
      <c r="G806" s="1">
        <v>4.7500000000000001E-2</v>
      </c>
      <c r="H806" s="1">
        <v>4.7500000000000001E-2</v>
      </c>
      <c r="I806" s="1">
        <v>4.7500000000000001E-2</v>
      </c>
      <c r="J806" s="1">
        <v>0.3155</v>
      </c>
    </row>
    <row r="807" spans="1:10" x14ac:dyDescent="0.2">
      <c r="A807" t="str">
        <f>"08/06/2023"</f>
        <v>08/06/2023</v>
      </c>
      <c r="B807">
        <v>3</v>
      </c>
      <c r="C807">
        <v>90000</v>
      </c>
      <c r="D807">
        <v>266987</v>
      </c>
      <c r="E807">
        <v>90000</v>
      </c>
      <c r="F807">
        <v>90000</v>
      </c>
      <c r="G807" s="1">
        <v>4.7500000000000001E-2</v>
      </c>
      <c r="H807" s="1">
        <v>4.7500000000000001E-2</v>
      </c>
      <c r="I807" s="1">
        <v>4.7500000000000001E-2</v>
      </c>
      <c r="J807" s="1">
        <v>0.28699999999999998</v>
      </c>
    </row>
    <row r="808" spans="1:10" x14ac:dyDescent="0.2">
      <c r="A808" t="str">
        <f>"07/06/2023"</f>
        <v>07/06/2023</v>
      </c>
      <c r="B808">
        <v>1</v>
      </c>
      <c r="C808">
        <v>89000</v>
      </c>
      <c r="D808">
        <v>278759</v>
      </c>
      <c r="E808">
        <v>89000</v>
      </c>
      <c r="F808">
        <v>89000</v>
      </c>
      <c r="G808" s="1">
        <v>4.7500000000000001E-2</v>
      </c>
      <c r="H808" s="1">
        <v>4.7500000000000001E-2</v>
      </c>
      <c r="I808" s="1">
        <v>4.7500000000000001E-2</v>
      </c>
      <c r="J808" s="1">
        <v>0.26219999999999999</v>
      </c>
    </row>
    <row r="809" spans="1:10" x14ac:dyDescent="0.2">
      <c r="A809" t="str">
        <f>"06/06/2023"</f>
        <v>06/06/2023</v>
      </c>
      <c r="B809">
        <v>1</v>
      </c>
      <c r="C809">
        <v>89000</v>
      </c>
      <c r="D809">
        <v>267647</v>
      </c>
      <c r="E809">
        <v>89000</v>
      </c>
      <c r="F809">
        <v>89000</v>
      </c>
      <c r="G809" s="1">
        <v>4.7500000000000001E-2</v>
      </c>
      <c r="H809" s="1">
        <v>4.7500000000000001E-2</v>
      </c>
      <c r="I809" s="1">
        <v>4.7500000000000001E-2</v>
      </c>
      <c r="J809" s="1">
        <v>0.25419999999999998</v>
      </c>
    </row>
    <row r="810" spans="1:10" x14ac:dyDescent="0.2">
      <c r="A810" t="str">
        <f>"05/06/2023"</f>
        <v>05/06/2023</v>
      </c>
      <c r="B810">
        <v>1</v>
      </c>
      <c r="C810">
        <v>89000</v>
      </c>
      <c r="D810">
        <v>251072</v>
      </c>
      <c r="E810">
        <v>89000</v>
      </c>
      <c r="F810">
        <v>89000</v>
      </c>
      <c r="G810" s="1">
        <v>4.7500000000000001E-2</v>
      </c>
      <c r="H810" s="1">
        <v>4.7500000000000001E-2</v>
      </c>
      <c r="I810" s="1">
        <v>4.7500000000000001E-2</v>
      </c>
      <c r="J810" s="1">
        <v>0.27210000000000001</v>
      </c>
    </row>
    <row r="811" spans="1:10" x14ac:dyDescent="0.2">
      <c r="A811" t="str">
        <f>"04/06/2023"</f>
        <v>04/06/2023</v>
      </c>
      <c r="B811">
        <v>1</v>
      </c>
      <c r="C811">
        <v>89000</v>
      </c>
      <c r="D811">
        <v>245146</v>
      </c>
      <c r="E811">
        <v>89000</v>
      </c>
      <c r="F811">
        <v>89000</v>
      </c>
      <c r="G811" s="1">
        <v>4.7500000000000001E-2</v>
      </c>
      <c r="H811" s="1">
        <v>4.7500000000000001E-2</v>
      </c>
      <c r="I811" s="1">
        <v>4.7500000000000001E-2</v>
      </c>
      <c r="J811" s="1">
        <v>0.28570000000000001</v>
      </c>
    </row>
    <row r="812" spans="1:10" x14ac:dyDescent="0.2">
      <c r="A812" t="str">
        <f>"01/06/2023"</f>
        <v>01/06/2023</v>
      </c>
      <c r="B812">
        <v>3</v>
      </c>
      <c r="C812">
        <v>89000</v>
      </c>
      <c r="D812">
        <v>226963</v>
      </c>
      <c r="E812">
        <v>89000</v>
      </c>
      <c r="F812">
        <v>89000</v>
      </c>
      <c r="G812" s="1">
        <v>4.7500000000000001E-2</v>
      </c>
      <c r="H812" s="1">
        <v>4.7500000000000001E-2</v>
      </c>
      <c r="I812" s="1">
        <v>4.7500000000000001E-2</v>
      </c>
      <c r="J812" s="1">
        <v>0.32419999999999999</v>
      </c>
    </row>
    <row r="813" spans="1:10" x14ac:dyDescent="0.2">
      <c r="A813" t="str">
        <f>"31/05/2023"</f>
        <v>31/05/2023</v>
      </c>
      <c r="B813">
        <v>1</v>
      </c>
      <c r="C813">
        <v>79000</v>
      </c>
      <c r="D813">
        <v>214411</v>
      </c>
      <c r="E813">
        <v>79000</v>
      </c>
      <c r="F813">
        <v>79000</v>
      </c>
      <c r="G813" s="1">
        <v>4.7500000000000001E-2</v>
      </c>
      <c r="H813" s="1">
        <v>4.7500000000000001E-2</v>
      </c>
      <c r="I813" s="1">
        <v>4.7500000000000001E-2</v>
      </c>
      <c r="J813" s="1">
        <v>0.29799999999999999</v>
      </c>
    </row>
    <row r="814" spans="1:10" x14ac:dyDescent="0.2">
      <c r="A814" t="str">
        <f>"30/05/2023"</f>
        <v>30/05/2023</v>
      </c>
      <c r="B814">
        <v>1</v>
      </c>
      <c r="C814">
        <v>77000</v>
      </c>
      <c r="D814">
        <v>188277</v>
      </c>
      <c r="E814">
        <v>77000</v>
      </c>
      <c r="F814">
        <v>77000</v>
      </c>
      <c r="G814" s="1">
        <v>4.7500000000000001E-2</v>
      </c>
      <c r="H814" s="1">
        <v>4.7500000000000001E-2</v>
      </c>
      <c r="I814" s="1">
        <v>4.7500000000000001E-2</v>
      </c>
      <c r="J814" s="1">
        <v>0.32090000000000002</v>
      </c>
    </row>
    <row r="815" spans="1:10" x14ac:dyDescent="0.2">
      <c r="A815" t="str">
        <f>"29/05/2023"</f>
        <v>29/05/2023</v>
      </c>
      <c r="B815">
        <v>1</v>
      </c>
      <c r="C815">
        <v>76000</v>
      </c>
      <c r="D815">
        <v>162742</v>
      </c>
      <c r="E815">
        <v>76000</v>
      </c>
      <c r="F815">
        <v>76000</v>
      </c>
      <c r="G815" s="1">
        <v>4.7500000000000001E-2</v>
      </c>
      <c r="H815" s="1">
        <v>4.7500000000000001E-2</v>
      </c>
      <c r="I815" s="1">
        <v>4.7500000000000001E-2</v>
      </c>
      <c r="J815" s="1">
        <v>0.41660000000000003</v>
      </c>
    </row>
    <row r="816" spans="1:10" x14ac:dyDescent="0.2">
      <c r="A816" t="str">
        <f>"28/05/2023"</f>
        <v>28/05/2023</v>
      </c>
      <c r="B816">
        <v>1</v>
      </c>
      <c r="C816">
        <v>75000</v>
      </c>
      <c r="D816">
        <v>136829</v>
      </c>
      <c r="E816">
        <v>75000</v>
      </c>
      <c r="F816">
        <v>75000</v>
      </c>
      <c r="G816" s="1">
        <v>4.7500000000000001E-2</v>
      </c>
      <c r="H816" s="1">
        <v>4.7500000000000001E-2</v>
      </c>
      <c r="I816" s="1">
        <v>4.7500000000000001E-2</v>
      </c>
      <c r="J816" s="1">
        <v>0.49580000000000002</v>
      </c>
    </row>
    <row r="817" spans="1:10" x14ac:dyDescent="0.2">
      <c r="A817" t="str">
        <f>"25/05/2023"</f>
        <v>25/05/2023</v>
      </c>
      <c r="B817">
        <v>3</v>
      </c>
      <c r="C817">
        <v>71000</v>
      </c>
      <c r="D817">
        <v>115365</v>
      </c>
      <c r="E817">
        <v>71000</v>
      </c>
      <c r="F817">
        <v>71000</v>
      </c>
      <c r="G817" s="1">
        <v>4.7500000000000001E-2</v>
      </c>
      <c r="H817" s="1">
        <v>4.7500000000000001E-2</v>
      </c>
      <c r="I817" s="1">
        <v>4.7500000000000001E-2</v>
      </c>
      <c r="J817" s="1">
        <v>0.56799999999999995</v>
      </c>
    </row>
    <row r="818" spans="1:10" x14ac:dyDescent="0.2">
      <c r="A818" t="str">
        <f>"24/05/2023"</f>
        <v>24/05/2023</v>
      </c>
      <c r="B818">
        <v>1</v>
      </c>
      <c r="C818">
        <v>66000</v>
      </c>
      <c r="D818">
        <v>62116</v>
      </c>
      <c r="E818">
        <v>62116</v>
      </c>
      <c r="F818">
        <v>62116</v>
      </c>
      <c r="G818" s="1">
        <v>4.4999999999999998E-2</v>
      </c>
      <c r="H818" s="1">
        <v>4.4900000000000002E-2</v>
      </c>
      <c r="I818" s="1">
        <v>4.4900000000000002E-2</v>
      </c>
      <c r="J818" s="1">
        <v>1</v>
      </c>
    </row>
    <row r="819" spans="1:10" x14ac:dyDescent="0.2">
      <c r="A819" t="str">
        <f>"23/05/2023"</f>
        <v>23/05/2023</v>
      </c>
      <c r="B819">
        <v>1</v>
      </c>
      <c r="C819">
        <v>68000</v>
      </c>
      <c r="D819">
        <v>69520</v>
      </c>
      <c r="E819">
        <v>68000</v>
      </c>
      <c r="F819">
        <v>68000</v>
      </c>
      <c r="G819" s="1">
        <v>4.4999999999999998E-2</v>
      </c>
      <c r="H819" s="1">
        <v>4.4999999999999998E-2</v>
      </c>
      <c r="I819" s="1">
        <v>4.4999999999999998E-2</v>
      </c>
      <c r="J819" s="1">
        <v>0.97270000000000001</v>
      </c>
    </row>
    <row r="820" spans="1:10" x14ac:dyDescent="0.2">
      <c r="A820" t="str">
        <f>"22/05/2023"</f>
        <v>22/05/2023</v>
      </c>
      <c r="B820">
        <v>1</v>
      </c>
      <c r="C820">
        <v>73000</v>
      </c>
      <c r="D820">
        <v>91003</v>
      </c>
      <c r="E820">
        <v>73000</v>
      </c>
      <c r="F820">
        <v>73000</v>
      </c>
      <c r="G820" s="1">
        <v>4.4999999999999998E-2</v>
      </c>
      <c r="H820" s="1">
        <v>4.4999999999999998E-2</v>
      </c>
      <c r="I820" s="1">
        <v>4.4999999999999998E-2</v>
      </c>
      <c r="J820" s="1">
        <v>0.76070000000000004</v>
      </c>
    </row>
    <row r="821" spans="1:10" x14ac:dyDescent="0.2">
      <c r="A821" t="str">
        <f>"21/05/2023"</f>
        <v>21/05/2023</v>
      </c>
      <c r="B821">
        <v>1</v>
      </c>
      <c r="C821">
        <v>76000</v>
      </c>
      <c r="D821">
        <v>105415</v>
      </c>
      <c r="E821">
        <v>76000</v>
      </c>
      <c r="F821">
        <v>76000</v>
      </c>
      <c r="G821" s="1">
        <v>4.4999999999999998E-2</v>
      </c>
      <c r="H821" s="1">
        <v>4.4999999999999998E-2</v>
      </c>
      <c r="I821" s="1">
        <v>4.4999999999999998E-2</v>
      </c>
      <c r="J821" s="1">
        <v>0.67259999999999998</v>
      </c>
    </row>
    <row r="822" spans="1:10" x14ac:dyDescent="0.2">
      <c r="A822" t="str">
        <f>"18/05/2023"</f>
        <v>18/05/2023</v>
      </c>
      <c r="B822">
        <v>3</v>
      </c>
      <c r="C822">
        <v>76000</v>
      </c>
      <c r="D822">
        <v>114103</v>
      </c>
      <c r="E822">
        <v>76000</v>
      </c>
      <c r="F822">
        <v>76000</v>
      </c>
      <c r="G822" s="1">
        <v>4.4999999999999998E-2</v>
      </c>
      <c r="H822" s="1">
        <v>4.4999999999999998E-2</v>
      </c>
      <c r="I822" s="1">
        <v>4.4999999999999998E-2</v>
      </c>
      <c r="J822" s="1">
        <v>0.62009999999999998</v>
      </c>
    </row>
    <row r="823" spans="1:10" x14ac:dyDescent="0.2">
      <c r="A823" t="str">
        <f>"17/05/2023"</f>
        <v>17/05/2023</v>
      </c>
      <c r="B823">
        <v>1</v>
      </c>
      <c r="C823">
        <v>77000</v>
      </c>
      <c r="D823">
        <v>122832</v>
      </c>
      <c r="E823">
        <v>77000</v>
      </c>
      <c r="F823">
        <v>77000</v>
      </c>
      <c r="G823" s="1">
        <v>4.4999999999999998E-2</v>
      </c>
      <c r="H823" s="1">
        <v>4.4999999999999998E-2</v>
      </c>
      <c r="I823" s="1">
        <v>4.4999999999999998E-2</v>
      </c>
      <c r="J823" s="1">
        <v>0.57379999999999998</v>
      </c>
    </row>
    <row r="824" spans="1:10" x14ac:dyDescent="0.2">
      <c r="A824" t="str">
        <f>"16/05/2023"</f>
        <v>16/05/2023</v>
      </c>
      <c r="B824">
        <v>1</v>
      </c>
      <c r="C824">
        <v>80000</v>
      </c>
      <c r="D824">
        <v>125728</v>
      </c>
      <c r="E824">
        <v>80000</v>
      </c>
      <c r="F824">
        <v>80000</v>
      </c>
      <c r="G824" s="1">
        <v>4.4999999999999998E-2</v>
      </c>
      <c r="H824" s="1">
        <v>4.4999999999999998E-2</v>
      </c>
      <c r="I824" s="1">
        <v>4.4999999999999998E-2</v>
      </c>
      <c r="J824" s="1">
        <v>0.58289999999999997</v>
      </c>
    </row>
    <row r="825" spans="1:10" x14ac:dyDescent="0.2">
      <c r="A825" t="str">
        <f>"15/05/2023"</f>
        <v>15/05/2023</v>
      </c>
      <c r="B825">
        <v>1</v>
      </c>
      <c r="C825">
        <v>90000</v>
      </c>
      <c r="D825">
        <v>140229</v>
      </c>
      <c r="E825">
        <v>90000</v>
      </c>
      <c r="F825">
        <v>90000</v>
      </c>
      <c r="G825" s="1">
        <v>4.4999999999999998E-2</v>
      </c>
      <c r="H825" s="1">
        <v>4.4999999999999998E-2</v>
      </c>
      <c r="I825" s="1">
        <v>4.4999999999999998E-2</v>
      </c>
      <c r="J825" s="1">
        <v>0.59240000000000004</v>
      </c>
    </row>
    <row r="826" spans="1:10" x14ac:dyDescent="0.2">
      <c r="A826" t="str">
        <f>"14/05/2023"</f>
        <v>14/05/2023</v>
      </c>
      <c r="B826">
        <v>1</v>
      </c>
      <c r="C826">
        <v>89000</v>
      </c>
      <c r="D826">
        <v>148535</v>
      </c>
      <c r="E826">
        <v>89000</v>
      </c>
      <c r="F826">
        <v>89000</v>
      </c>
      <c r="G826" s="1">
        <v>4.4999999999999998E-2</v>
      </c>
      <c r="H826" s="1">
        <v>4.4999999999999998E-2</v>
      </c>
      <c r="I826" s="1">
        <v>4.4999999999999998E-2</v>
      </c>
      <c r="J826" s="1">
        <v>0.55089999999999995</v>
      </c>
    </row>
    <row r="827" spans="1:10" x14ac:dyDescent="0.2">
      <c r="A827" t="str">
        <f>"11/05/2023"</f>
        <v>11/05/2023</v>
      </c>
      <c r="B827">
        <v>3</v>
      </c>
      <c r="C827">
        <v>91000</v>
      </c>
      <c r="D827">
        <v>149547</v>
      </c>
      <c r="E827">
        <v>91000</v>
      </c>
      <c r="F827">
        <v>91000</v>
      </c>
      <c r="G827" s="1">
        <v>4.4999999999999998E-2</v>
      </c>
      <c r="H827" s="1">
        <v>4.4999999999999998E-2</v>
      </c>
      <c r="I827" s="1">
        <v>4.4999999999999998E-2</v>
      </c>
      <c r="J827" s="1">
        <v>0.56569999999999998</v>
      </c>
    </row>
    <row r="828" spans="1:10" x14ac:dyDescent="0.2">
      <c r="A828" t="str">
        <f>"10/05/2023"</f>
        <v>10/05/2023</v>
      </c>
      <c r="B828">
        <v>1</v>
      </c>
      <c r="C828">
        <v>92000</v>
      </c>
      <c r="D828">
        <v>159523</v>
      </c>
      <c r="E828">
        <v>92000</v>
      </c>
      <c r="F828">
        <v>92000</v>
      </c>
      <c r="G828" s="1">
        <v>4.4999999999999998E-2</v>
      </c>
      <c r="H828" s="1">
        <v>4.4999999999999998E-2</v>
      </c>
      <c r="I828" s="1">
        <v>4.4999999999999998E-2</v>
      </c>
      <c r="J828" s="1">
        <v>0.52680000000000005</v>
      </c>
    </row>
    <row r="829" spans="1:10" x14ac:dyDescent="0.2">
      <c r="A829" t="str">
        <f>"09/05/2023"</f>
        <v>09/05/2023</v>
      </c>
      <c r="B829">
        <v>1</v>
      </c>
      <c r="C829">
        <v>93000</v>
      </c>
      <c r="D829">
        <v>165218</v>
      </c>
      <c r="E829">
        <v>93000</v>
      </c>
      <c r="F829">
        <v>93000</v>
      </c>
      <c r="G829" s="1">
        <v>4.4999999999999998E-2</v>
      </c>
      <c r="H829" s="1">
        <v>4.4999999999999998E-2</v>
      </c>
      <c r="I829" s="1">
        <v>4.4999999999999998E-2</v>
      </c>
      <c r="J829" s="1">
        <v>0.51019999999999999</v>
      </c>
    </row>
    <row r="830" spans="1:10" x14ac:dyDescent="0.2">
      <c r="A830" t="str">
        <f>"08/05/2023"</f>
        <v>08/05/2023</v>
      </c>
      <c r="B830">
        <v>1</v>
      </c>
      <c r="C830">
        <v>93000</v>
      </c>
      <c r="D830">
        <v>170730</v>
      </c>
      <c r="E830">
        <v>93000</v>
      </c>
      <c r="F830">
        <v>93000</v>
      </c>
      <c r="G830" s="1">
        <v>4.4999999999999998E-2</v>
      </c>
      <c r="H830" s="1">
        <v>4.4999999999999998E-2</v>
      </c>
      <c r="I830" s="1">
        <v>4.4999999999999998E-2</v>
      </c>
      <c r="J830" s="1">
        <v>0.49220000000000003</v>
      </c>
    </row>
    <row r="831" spans="1:10" x14ac:dyDescent="0.2">
      <c r="A831" t="str">
        <f>"07/05/2023"</f>
        <v>07/05/2023</v>
      </c>
      <c r="B831">
        <v>1</v>
      </c>
      <c r="C831">
        <v>92000</v>
      </c>
      <c r="D831">
        <v>168599</v>
      </c>
      <c r="E831">
        <v>92000</v>
      </c>
      <c r="F831">
        <v>92000</v>
      </c>
      <c r="G831" s="1">
        <v>4.4999999999999998E-2</v>
      </c>
      <c r="H831" s="1">
        <v>4.4999999999999998E-2</v>
      </c>
      <c r="I831" s="1">
        <v>4.4999999999999998E-2</v>
      </c>
      <c r="J831" s="1">
        <v>0.49199999999999999</v>
      </c>
    </row>
    <row r="832" spans="1:10" x14ac:dyDescent="0.2">
      <c r="A832" t="str">
        <f>"04/05/2023"</f>
        <v>04/05/2023</v>
      </c>
      <c r="B832">
        <v>3</v>
      </c>
      <c r="C832">
        <v>91000</v>
      </c>
      <c r="D832">
        <v>166081</v>
      </c>
      <c r="E832">
        <v>91000</v>
      </c>
      <c r="F832">
        <v>91000</v>
      </c>
      <c r="G832" s="1">
        <v>4.4999999999999998E-2</v>
      </c>
      <c r="H832" s="1">
        <v>4.4999999999999998E-2</v>
      </c>
      <c r="I832" s="1">
        <v>4.4999999999999998E-2</v>
      </c>
      <c r="J832" s="1">
        <v>0.50170000000000003</v>
      </c>
    </row>
    <row r="833" spans="1:10" x14ac:dyDescent="0.2">
      <c r="A833" t="str">
        <f>"03/05/2023"</f>
        <v>03/05/2023</v>
      </c>
      <c r="B833">
        <v>1</v>
      </c>
      <c r="C833">
        <v>93000</v>
      </c>
      <c r="D833">
        <v>182187</v>
      </c>
      <c r="E833">
        <v>93000</v>
      </c>
      <c r="F833">
        <v>93000</v>
      </c>
      <c r="G833" s="1">
        <v>4.4999999999999998E-2</v>
      </c>
      <c r="H833" s="1">
        <v>4.4999999999999998E-2</v>
      </c>
      <c r="I833" s="1">
        <v>4.4999999999999998E-2</v>
      </c>
      <c r="J833" s="1">
        <v>0.45729999999999998</v>
      </c>
    </row>
    <row r="834" spans="1:10" x14ac:dyDescent="0.2">
      <c r="A834" t="str">
        <f>"02/05/2023"</f>
        <v>02/05/2023</v>
      </c>
      <c r="B834">
        <v>1</v>
      </c>
      <c r="C834">
        <v>94000</v>
      </c>
      <c r="D834">
        <v>190500</v>
      </c>
      <c r="E834">
        <v>94000</v>
      </c>
      <c r="F834">
        <v>94000</v>
      </c>
      <c r="G834" s="1">
        <v>4.4999999999999998E-2</v>
      </c>
      <c r="H834" s="1">
        <v>4.4999999999999998E-2</v>
      </c>
      <c r="I834" s="1">
        <v>4.4999999999999998E-2</v>
      </c>
      <c r="J834" s="1">
        <v>0.45379999999999998</v>
      </c>
    </row>
    <row r="835" spans="1:10" x14ac:dyDescent="0.2">
      <c r="A835" t="str">
        <f>"01/05/2023"</f>
        <v>01/05/2023</v>
      </c>
      <c r="B835">
        <v>1</v>
      </c>
      <c r="C835">
        <v>94000</v>
      </c>
      <c r="D835">
        <v>189988</v>
      </c>
      <c r="E835">
        <v>94000</v>
      </c>
      <c r="F835">
        <v>94000</v>
      </c>
      <c r="G835" s="1">
        <v>4.4999999999999998E-2</v>
      </c>
      <c r="H835" s="1">
        <v>4.4999999999999998E-2</v>
      </c>
      <c r="I835" s="1">
        <v>4.4999999999999998E-2</v>
      </c>
      <c r="J835" s="1">
        <v>0.44919999999999999</v>
      </c>
    </row>
    <row r="836" spans="1:10" x14ac:dyDescent="0.2">
      <c r="A836" t="str">
        <f>"30/04/2023"</f>
        <v>30/04/2023</v>
      </c>
      <c r="B836">
        <v>1</v>
      </c>
      <c r="C836">
        <v>85000</v>
      </c>
      <c r="D836">
        <v>181307</v>
      </c>
      <c r="E836">
        <v>85000</v>
      </c>
      <c r="F836">
        <v>85000</v>
      </c>
      <c r="G836" s="1">
        <v>4.4999999999999998E-2</v>
      </c>
      <c r="H836" s="1">
        <v>4.4999999999999998E-2</v>
      </c>
      <c r="I836" s="1">
        <v>4.4999999999999998E-2</v>
      </c>
      <c r="J836" s="1">
        <v>0.42549999999999999</v>
      </c>
    </row>
    <row r="837" spans="1:10" x14ac:dyDescent="0.2">
      <c r="A837" t="str">
        <f>"27/04/2023"</f>
        <v>27/04/2023</v>
      </c>
      <c r="B837">
        <v>3</v>
      </c>
      <c r="C837">
        <v>91000</v>
      </c>
      <c r="D837">
        <v>226771</v>
      </c>
      <c r="E837">
        <v>91000</v>
      </c>
      <c r="F837">
        <v>91000</v>
      </c>
      <c r="G837" s="1">
        <v>4.4999999999999998E-2</v>
      </c>
      <c r="H837" s="1">
        <v>4.4999999999999998E-2</v>
      </c>
      <c r="I837" s="1">
        <v>4.4999999999999998E-2</v>
      </c>
      <c r="J837" s="1">
        <v>0.36159999999999998</v>
      </c>
    </row>
    <row r="838" spans="1:10" x14ac:dyDescent="0.2">
      <c r="A838" t="str">
        <f>"24/04/2023"</f>
        <v>24/04/2023</v>
      </c>
      <c r="B838">
        <v>3</v>
      </c>
      <c r="C838">
        <v>96000</v>
      </c>
      <c r="D838">
        <v>245660</v>
      </c>
      <c r="E838">
        <v>96000</v>
      </c>
      <c r="F838">
        <v>96000</v>
      </c>
      <c r="G838" s="1">
        <v>4.4999999999999998E-2</v>
      </c>
      <c r="H838" s="1">
        <v>4.4999999999999998E-2</v>
      </c>
      <c r="I838" s="1">
        <v>4.4999999999999998E-2</v>
      </c>
      <c r="J838" s="1">
        <v>0.35389999999999999</v>
      </c>
    </row>
    <row r="839" spans="1:10" x14ac:dyDescent="0.2">
      <c r="A839" t="str">
        <f>"23/04/2023"</f>
        <v>23/04/2023</v>
      </c>
      <c r="B839">
        <v>1</v>
      </c>
      <c r="C839">
        <v>98000</v>
      </c>
      <c r="D839">
        <v>246047</v>
      </c>
      <c r="E839">
        <v>98000</v>
      </c>
      <c r="F839">
        <v>98000</v>
      </c>
      <c r="G839" s="1">
        <v>4.4999999999999998E-2</v>
      </c>
      <c r="H839" s="1">
        <v>4.4999999999999998E-2</v>
      </c>
      <c r="I839" s="1">
        <v>4.4999999999999998E-2</v>
      </c>
      <c r="J839" s="1">
        <v>0.35880000000000001</v>
      </c>
    </row>
    <row r="840" spans="1:10" x14ac:dyDescent="0.2">
      <c r="A840" t="str">
        <f>"20/04/2023"</f>
        <v>20/04/2023</v>
      </c>
      <c r="B840">
        <v>3</v>
      </c>
      <c r="C840">
        <v>97000</v>
      </c>
      <c r="D840">
        <v>234581</v>
      </c>
      <c r="E840">
        <v>97000</v>
      </c>
      <c r="F840">
        <v>97000</v>
      </c>
      <c r="G840" s="1">
        <v>4.4999999999999998E-2</v>
      </c>
      <c r="H840" s="1">
        <v>4.4999999999999998E-2</v>
      </c>
      <c r="I840" s="1">
        <v>4.4999999999999998E-2</v>
      </c>
      <c r="J840" s="1">
        <v>0.36430000000000001</v>
      </c>
    </row>
    <row r="841" spans="1:10" x14ac:dyDescent="0.2">
      <c r="A841" t="str">
        <f>"19/04/2023"</f>
        <v>19/04/2023</v>
      </c>
      <c r="B841">
        <v>1</v>
      </c>
      <c r="C841">
        <v>100000</v>
      </c>
      <c r="D841">
        <v>241530</v>
      </c>
      <c r="E841">
        <v>100000</v>
      </c>
      <c r="F841">
        <v>100000</v>
      </c>
      <c r="G841" s="1">
        <v>4.4999999999999998E-2</v>
      </c>
      <c r="H841" s="1">
        <v>4.4999999999999998E-2</v>
      </c>
      <c r="I841" s="1">
        <v>4.4999999999999998E-2</v>
      </c>
      <c r="J841" s="1">
        <v>0.36559999999999998</v>
      </c>
    </row>
    <row r="842" spans="1:10" x14ac:dyDescent="0.2">
      <c r="A842" t="str">
        <f>"18/04/2023"</f>
        <v>18/04/2023</v>
      </c>
      <c r="B842">
        <v>1</v>
      </c>
      <c r="C842">
        <v>96000</v>
      </c>
      <c r="D842">
        <v>207792</v>
      </c>
      <c r="E842">
        <v>96000</v>
      </c>
      <c r="F842">
        <v>96000</v>
      </c>
      <c r="G842" s="1">
        <v>4.4999999999999998E-2</v>
      </c>
      <c r="H842" s="1">
        <v>4.4999999999999998E-2</v>
      </c>
      <c r="I842" s="1">
        <v>4.4999999999999998E-2</v>
      </c>
      <c r="J842" s="1">
        <v>0.41099999999999998</v>
      </c>
    </row>
    <row r="843" spans="1:10" x14ac:dyDescent="0.2">
      <c r="A843" t="str">
        <f>"17/04/2023"</f>
        <v>17/04/2023</v>
      </c>
      <c r="B843">
        <v>1</v>
      </c>
      <c r="C843">
        <v>99000</v>
      </c>
      <c r="D843">
        <v>193665</v>
      </c>
      <c r="E843">
        <v>99000</v>
      </c>
      <c r="F843">
        <v>99000</v>
      </c>
      <c r="G843" s="1">
        <v>4.4999999999999998E-2</v>
      </c>
      <c r="H843" s="1">
        <v>4.4999999999999998E-2</v>
      </c>
      <c r="I843" s="1">
        <v>4.4999999999999998E-2</v>
      </c>
      <c r="J843" s="1">
        <v>0.46160000000000001</v>
      </c>
    </row>
    <row r="844" spans="1:10" x14ac:dyDescent="0.2">
      <c r="A844" t="str">
        <f>"16/04/2023"</f>
        <v>16/04/2023</v>
      </c>
      <c r="B844">
        <v>1</v>
      </c>
      <c r="C844">
        <v>99000</v>
      </c>
      <c r="D844">
        <v>185950</v>
      </c>
      <c r="E844">
        <v>99000</v>
      </c>
      <c r="F844">
        <v>99000</v>
      </c>
      <c r="G844" s="1">
        <v>4.4999999999999998E-2</v>
      </c>
      <c r="H844" s="1">
        <v>4.4999999999999998E-2</v>
      </c>
      <c r="I844" s="1">
        <v>4.4999999999999998E-2</v>
      </c>
      <c r="J844" s="1">
        <v>0.4773</v>
      </c>
    </row>
    <row r="845" spans="1:10" x14ac:dyDescent="0.2">
      <c r="A845" t="str">
        <f>"13/04/2023"</f>
        <v>13/04/2023</v>
      </c>
      <c r="B845">
        <v>3</v>
      </c>
      <c r="C845">
        <v>102000</v>
      </c>
      <c r="D845">
        <v>190885</v>
      </c>
      <c r="E845">
        <v>102000</v>
      </c>
      <c r="F845">
        <v>102000</v>
      </c>
      <c r="G845" s="1">
        <v>4.4999999999999998E-2</v>
      </c>
      <c r="H845" s="1">
        <v>4.4999999999999998E-2</v>
      </c>
      <c r="I845" s="1">
        <v>4.4999999999999998E-2</v>
      </c>
      <c r="J845" s="1">
        <v>0.4849</v>
      </c>
    </row>
    <row r="846" spans="1:10" x14ac:dyDescent="0.2">
      <c r="A846" t="str">
        <f>"10/04/2023"</f>
        <v>10/04/2023</v>
      </c>
      <c r="B846">
        <v>3</v>
      </c>
      <c r="C846">
        <v>102000</v>
      </c>
      <c r="D846">
        <v>198168</v>
      </c>
      <c r="E846">
        <v>102000</v>
      </c>
      <c r="F846">
        <v>102000</v>
      </c>
      <c r="G846" s="1">
        <v>4.4999999999999998E-2</v>
      </c>
      <c r="H846" s="1">
        <v>4.4999999999999998E-2</v>
      </c>
      <c r="I846" s="1">
        <v>4.4999999999999998E-2</v>
      </c>
      <c r="J846" s="1">
        <v>0.48039999999999999</v>
      </c>
    </row>
    <row r="847" spans="1:10" x14ac:dyDescent="0.2">
      <c r="A847" t="str">
        <f>"09/04/2023"</f>
        <v>09/04/2023</v>
      </c>
      <c r="B847">
        <v>1</v>
      </c>
      <c r="C847">
        <v>103000</v>
      </c>
      <c r="D847">
        <v>194814</v>
      </c>
      <c r="E847">
        <v>103000</v>
      </c>
      <c r="F847">
        <v>103000</v>
      </c>
      <c r="G847" s="1">
        <v>4.4999999999999998E-2</v>
      </c>
      <c r="H847" s="1">
        <v>4.4999999999999998E-2</v>
      </c>
      <c r="I847" s="1">
        <v>4.4999999999999998E-2</v>
      </c>
      <c r="J847" s="1">
        <v>0.48110000000000003</v>
      </c>
    </row>
    <row r="848" spans="1:10" x14ac:dyDescent="0.2">
      <c r="A848" t="str">
        <f>"04/04/2023"</f>
        <v>04/04/2023</v>
      </c>
      <c r="B848">
        <v>5</v>
      </c>
      <c r="C848">
        <v>105000</v>
      </c>
      <c r="D848">
        <v>190733</v>
      </c>
      <c r="E848">
        <v>105000</v>
      </c>
      <c r="F848">
        <v>105000</v>
      </c>
      <c r="G848" s="1">
        <v>4.2500000000000003E-2</v>
      </c>
      <c r="H848" s="1">
        <v>4.2500000000000003E-2</v>
      </c>
      <c r="I848" s="1">
        <v>4.2500000000000003E-2</v>
      </c>
      <c r="J848" s="1">
        <v>0.51229999999999998</v>
      </c>
    </row>
    <row r="849" spans="1:10" x14ac:dyDescent="0.2">
      <c r="A849" t="str">
        <f>"03/04/2023"</f>
        <v>03/04/2023</v>
      </c>
      <c r="B849">
        <v>1</v>
      </c>
      <c r="C849">
        <v>105000</v>
      </c>
      <c r="D849">
        <v>178808</v>
      </c>
      <c r="E849">
        <v>105000</v>
      </c>
      <c r="F849">
        <v>105000</v>
      </c>
      <c r="G849" s="1">
        <v>4.2500000000000003E-2</v>
      </c>
      <c r="H849" s="1">
        <v>4.2500000000000003E-2</v>
      </c>
      <c r="I849" s="1">
        <v>4.2500000000000003E-2</v>
      </c>
      <c r="J849" s="1">
        <v>0.52949999999999997</v>
      </c>
    </row>
    <row r="850" spans="1:10" x14ac:dyDescent="0.2">
      <c r="A850" t="str">
        <f>"02/04/2023"</f>
        <v>02/04/2023</v>
      </c>
      <c r="B850">
        <v>1</v>
      </c>
      <c r="C850">
        <v>102000</v>
      </c>
      <c r="D850">
        <v>168949</v>
      </c>
      <c r="E850">
        <v>102000</v>
      </c>
      <c r="F850">
        <v>102000</v>
      </c>
      <c r="G850" s="1">
        <v>4.2500000000000003E-2</v>
      </c>
      <c r="H850" s="1">
        <v>4.2500000000000003E-2</v>
      </c>
      <c r="I850" s="1">
        <v>4.2500000000000003E-2</v>
      </c>
      <c r="J850" s="1">
        <v>0.55120000000000002</v>
      </c>
    </row>
    <row r="851" spans="1:10" x14ac:dyDescent="0.2">
      <c r="A851" t="str">
        <f>"30/03/2023"</f>
        <v>30/03/2023</v>
      </c>
      <c r="B851">
        <v>3</v>
      </c>
      <c r="C851">
        <v>81000</v>
      </c>
      <c r="D851">
        <v>125344</v>
      </c>
      <c r="E851">
        <v>81000</v>
      </c>
      <c r="F851">
        <v>81000</v>
      </c>
      <c r="G851" s="1">
        <v>4.2500000000000003E-2</v>
      </c>
      <c r="H851" s="1">
        <v>4.2500000000000003E-2</v>
      </c>
      <c r="I851" s="1">
        <v>4.2500000000000003E-2</v>
      </c>
      <c r="J851" s="1">
        <v>0.61639999999999995</v>
      </c>
    </row>
    <row r="852" spans="1:10" x14ac:dyDescent="0.2">
      <c r="A852" t="str">
        <f>"29/03/2023"</f>
        <v>29/03/2023</v>
      </c>
      <c r="B852">
        <v>1</v>
      </c>
      <c r="C852">
        <v>69000</v>
      </c>
      <c r="D852">
        <v>62950</v>
      </c>
      <c r="E852">
        <v>62950</v>
      </c>
      <c r="F852">
        <v>62950</v>
      </c>
      <c r="G852" s="1">
        <v>4.2500000000000003E-2</v>
      </c>
      <c r="H852" s="1">
        <v>4.2500000000000003E-2</v>
      </c>
      <c r="I852" s="1">
        <v>4.2500000000000003E-2</v>
      </c>
      <c r="J852" s="1">
        <v>1</v>
      </c>
    </row>
    <row r="853" spans="1:10" x14ac:dyDescent="0.2">
      <c r="A853" t="str">
        <f>"28/03/2023"</f>
        <v>28/03/2023</v>
      </c>
      <c r="B853">
        <v>1</v>
      </c>
      <c r="C853">
        <v>62000</v>
      </c>
      <c r="D853">
        <v>68790</v>
      </c>
      <c r="E853">
        <v>62000</v>
      </c>
      <c r="F853">
        <v>62000</v>
      </c>
      <c r="G853" s="1">
        <v>4.2500000000000003E-2</v>
      </c>
      <c r="H853" s="1">
        <v>4.2500000000000003E-2</v>
      </c>
      <c r="I853" s="1">
        <v>4.2500000000000003E-2</v>
      </c>
      <c r="J853" s="1">
        <v>0.85909999999999997</v>
      </c>
    </row>
    <row r="854" spans="1:10" x14ac:dyDescent="0.2">
      <c r="A854" t="str">
        <f>"27/03/2023"</f>
        <v>27/03/2023</v>
      </c>
      <c r="B854">
        <v>1</v>
      </c>
      <c r="C854">
        <v>59000</v>
      </c>
      <c r="D854">
        <v>66672</v>
      </c>
      <c r="E854">
        <v>59000</v>
      </c>
      <c r="F854">
        <v>59000</v>
      </c>
      <c r="G854" s="1">
        <v>4.2500000000000003E-2</v>
      </c>
      <c r="H854" s="1">
        <v>4.2500000000000003E-2</v>
      </c>
      <c r="I854" s="1">
        <v>4.2500000000000003E-2</v>
      </c>
      <c r="J854" s="1">
        <v>0.83460000000000001</v>
      </c>
    </row>
    <row r="855" spans="1:10" x14ac:dyDescent="0.2">
      <c r="A855" t="str">
        <f>"26/03/2023"</f>
        <v>26/03/2023</v>
      </c>
      <c r="B855">
        <v>1</v>
      </c>
      <c r="C855">
        <v>61000</v>
      </c>
      <c r="D855">
        <v>83798</v>
      </c>
      <c r="E855">
        <v>61000</v>
      </c>
      <c r="F855">
        <v>61000</v>
      </c>
      <c r="G855" s="1">
        <v>4.2500000000000003E-2</v>
      </c>
      <c r="H855" s="1">
        <v>4.2500000000000003E-2</v>
      </c>
      <c r="I855" s="1">
        <v>4.2500000000000003E-2</v>
      </c>
      <c r="J855" s="1">
        <v>0.69720000000000004</v>
      </c>
    </row>
    <row r="856" spans="1:10" x14ac:dyDescent="0.2">
      <c r="A856" t="str">
        <f>"23/03/2023"</f>
        <v>23/03/2023</v>
      </c>
      <c r="B856">
        <v>3</v>
      </c>
      <c r="C856">
        <v>66000</v>
      </c>
      <c r="D856">
        <v>109718</v>
      </c>
      <c r="E856">
        <v>66000</v>
      </c>
      <c r="F856">
        <v>66000</v>
      </c>
      <c r="G856" s="1">
        <v>4.2500000000000003E-2</v>
      </c>
      <c r="H856" s="1">
        <v>4.2500000000000003E-2</v>
      </c>
      <c r="I856" s="1">
        <v>4.2500000000000003E-2</v>
      </c>
      <c r="J856" s="1">
        <v>0.56779999999999997</v>
      </c>
    </row>
    <row r="857" spans="1:10" x14ac:dyDescent="0.2">
      <c r="A857" t="str">
        <f>"22/03/2023"</f>
        <v>22/03/2023</v>
      </c>
      <c r="B857">
        <v>1</v>
      </c>
      <c r="C857">
        <v>64000</v>
      </c>
      <c r="D857">
        <v>112151</v>
      </c>
      <c r="E857">
        <v>64000</v>
      </c>
      <c r="F857">
        <v>64000</v>
      </c>
      <c r="G857" s="1">
        <v>4.2500000000000003E-2</v>
      </c>
      <c r="H857" s="1">
        <v>4.2500000000000003E-2</v>
      </c>
      <c r="I857" s="1">
        <v>4.2500000000000003E-2</v>
      </c>
      <c r="J857" s="1">
        <v>0.52129999999999999</v>
      </c>
    </row>
    <row r="858" spans="1:10" x14ac:dyDescent="0.2">
      <c r="A858" t="str">
        <f>"21/03/2023"</f>
        <v>21/03/2023</v>
      </c>
      <c r="B858">
        <v>1</v>
      </c>
      <c r="C858">
        <v>66000</v>
      </c>
      <c r="D858">
        <v>111011</v>
      </c>
      <c r="E858">
        <v>66000</v>
      </c>
      <c r="F858">
        <v>66000</v>
      </c>
      <c r="G858" s="1">
        <v>4.2500000000000003E-2</v>
      </c>
      <c r="H858" s="1">
        <v>4.2500000000000003E-2</v>
      </c>
      <c r="I858" s="1">
        <v>4.2500000000000003E-2</v>
      </c>
      <c r="J858" s="1">
        <v>0.54479999999999995</v>
      </c>
    </row>
    <row r="859" spans="1:10" x14ac:dyDescent="0.2">
      <c r="A859" t="str">
        <f>"20/03/2023"</f>
        <v>20/03/2023</v>
      </c>
      <c r="B859">
        <v>1</v>
      </c>
      <c r="C859">
        <v>71000</v>
      </c>
      <c r="D859">
        <v>117393</v>
      </c>
      <c r="E859">
        <v>71000</v>
      </c>
      <c r="F859">
        <v>71000</v>
      </c>
      <c r="G859" s="1">
        <v>4.2500000000000003E-2</v>
      </c>
      <c r="H859" s="1">
        <v>4.2500000000000003E-2</v>
      </c>
      <c r="I859" s="1">
        <v>4.2500000000000003E-2</v>
      </c>
      <c r="J859" s="1">
        <v>0.5544</v>
      </c>
    </row>
    <row r="860" spans="1:10" x14ac:dyDescent="0.2">
      <c r="A860" t="str">
        <f>"19/03/2023"</f>
        <v>19/03/2023</v>
      </c>
      <c r="B860">
        <v>1</v>
      </c>
      <c r="C860">
        <v>73000</v>
      </c>
      <c r="D860">
        <v>119233</v>
      </c>
      <c r="E860">
        <v>73000</v>
      </c>
      <c r="F860">
        <v>73000</v>
      </c>
      <c r="G860" s="1">
        <v>4.2500000000000003E-2</v>
      </c>
      <c r="H860" s="1">
        <v>4.2500000000000003E-2</v>
      </c>
      <c r="I860" s="1">
        <v>4.2500000000000003E-2</v>
      </c>
      <c r="J860" s="1">
        <v>0.55589999999999995</v>
      </c>
    </row>
    <row r="861" spans="1:10" x14ac:dyDescent="0.2">
      <c r="A861" t="str">
        <f>"16/03/2023"</f>
        <v>16/03/2023</v>
      </c>
      <c r="B861">
        <v>3</v>
      </c>
      <c r="C861">
        <v>80000</v>
      </c>
      <c r="D861">
        <v>135675</v>
      </c>
      <c r="E861">
        <v>80000</v>
      </c>
      <c r="F861">
        <v>80000</v>
      </c>
      <c r="G861" s="1">
        <v>4.2500000000000003E-2</v>
      </c>
      <c r="H861" s="1">
        <v>4.2500000000000003E-2</v>
      </c>
      <c r="I861" s="1">
        <v>4.2500000000000003E-2</v>
      </c>
      <c r="J861" s="1">
        <v>0.54390000000000005</v>
      </c>
    </row>
    <row r="862" spans="1:10" x14ac:dyDescent="0.2">
      <c r="A862" t="str">
        <f>"15/03/2023"</f>
        <v>15/03/2023</v>
      </c>
      <c r="B862">
        <v>1</v>
      </c>
      <c r="C862">
        <v>85000</v>
      </c>
      <c r="D862">
        <v>152887</v>
      </c>
      <c r="E862">
        <v>85000</v>
      </c>
      <c r="F862">
        <v>85000</v>
      </c>
      <c r="G862" s="1">
        <v>4.2500000000000003E-2</v>
      </c>
      <c r="H862" s="1">
        <v>4.2500000000000003E-2</v>
      </c>
      <c r="I862" s="1">
        <v>4.2500000000000003E-2</v>
      </c>
      <c r="J862" s="1">
        <v>0.50519999999999998</v>
      </c>
    </row>
    <row r="863" spans="1:10" x14ac:dyDescent="0.2">
      <c r="A863" t="str">
        <f>"14/03/2023"</f>
        <v>14/03/2023</v>
      </c>
      <c r="B863">
        <v>1</v>
      </c>
      <c r="C863">
        <v>93000</v>
      </c>
      <c r="D863">
        <v>195503</v>
      </c>
      <c r="E863">
        <v>93000</v>
      </c>
      <c r="F863">
        <v>93000</v>
      </c>
      <c r="G863" s="1">
        <v>4.2500000000000003E-2</v>
      </c>
      <c r="H863" s="1">
        <v>4.2500000000000003E-2</v>
      </c>
      <c r="I863" s="1">
        <v>4.2500000000000003E-2</v>
      </c>
      <c r="J863" s="1">
        <v>0.42680000000000001</v>
      </c>
    </row>
    <row r="864" spans="1:10" x14ac:dyDescent="0.2">
      <c r="A864" t="str">
        <f>"13/03/2023"</f>
        <v>13/03/2023</v>
      </c>
      <c r="B864">
        <v>1</v>
      </c>
      <c r="C864">
        <v>93000</v>
      </c>
      <c r="D864">
        <v>196526</v>
      </c>
      <c r="E864">
        <v>93000</v>
      </c>
      <c r="F864">
        <v>93000</v>
      </c>
      <c r="G864" s="1">
        <v>4.2500000000000003E-2</v>
      </c>
      <c r="H864" s="1">
        <v>4.2500000000000003E-2</v>
      </c>
      <c r="I864" s="1">
        <v>4.2500000000000003E-2</v>
      </c>
      <c r="J864" s="1">
        <v>0.42709999999999998</v>
      </c>
    </row>
    <row r="865" spans="1:10" x14ac:dyDescent="0.2">
      <c r="A865" t="str">
        <f>"12/03/2023"</f>
        <v>12/03/2023</v>
      </c>
      <c r="B865">
        <v>1</v>
      </c>
      <c r="C865">
        <v>94000</v>
      </c>
      <c r="D865">
        <v>204335</v>
      </c>
      <c r="E865">
        <v>94000</v>
      </c>
      <c r="F865">
        <v>94000</v>
      </c>
      <c r="G865" s="1">
        <v>4.2500000000000003E-2</v>
      </c>
      <c r="H865" s="1">
        <v>4.2500000000000003E-2</v>
      </c>
      <c r="I865" s="1">
        <v>4.2500000000000003E-2</v>
      </c>
      <c r="J865" s="1">
        <v>0.4108</v>
      </c>
    </row>
    <row r="866" spans="1:10" x14ac:dyDescent="0.2">
      <c r="A866" t="str">
        <f>"09/03/2023"</f>
        <v>09/03/2023</v>
      </c>
      <c r="B866">
        <v>3</v>
      </c>
      <c r="C866">
        <v>96000</v>
      </c>
      <c r="D866">
        <v>209540</v>
      </c>
      <c r="E866">
        <v>96000</v>
      </c>
      <c r="F866">
        <v>96000</v>
      </c>
      <c r="G866" s="1">
        <v>4.2500000000000003E-2</v>
      </c>
      <c r="H866" s="1">
        <v>4.2500000000000003E-2</v>
      </c>
      <c r="I866" s="1">
        <v>4.2500000000000003E-2</v>
      </c>
      <c r="J866" s="1">
        <v>0.41539999999999999</v>
      </c>
    </row>
    <row r="867" spans="1:10" x14ac:dyDescent="0.2">
      <c r="A867" t="str">
        <f>"08/03/2023"</f>
        <v>08/03/2023</v>
      </c>
      <c r="B867">
        <v>1</v>
      </c>
      <c r="C867">
        <v>92000</v>
      </c>
      <c r="D867">
        <v>204710</v>
      </c>
      <c r="E867">
        <v>92000</v>
      </c>
      <c r="F867">
        <v>92000</v>
      </c>
      <c r="G867" s="1">
        <v>4.2500000000000003E-2</v>
      </c>
      <c r="H867" s="1">
        <v>4.2500000000000003E-2</v>
      </c>
      <c r="I867" s="1">
        <v>4.2500000000000003E-2</v>
      </c>
      <c r="J867" s="1">
        <v>0.40560000000000002</v>
      </c>
    </row>
    <row r="868" spans="1:10" x14ac:dyDescent="0.2">
      <c r="A868" t="str">
        <f>"06/03/2023"</f>
        <v>06/03/2023</v>
      </c>
      <c r="B868">
        <v>2</v>
      </c>
      <c r="C868">
        <v>92000</v>
      </c>
      <c r="D868">
        <v>187626</v>
      </c>
      <c r="E868">
        <v>92000</v>
      </c>
      <c r="F868">
        <v>92000</v>
      </c>
      <c r="G868" s="1">
        <v>4.2500000000000003E-2</v>
      </c>
      <c r="H868" s="1">
        <v>4.2500000000000003E-2</v>
      </c>
      <c r="I868" s="1">
        <v>4.2500000000000003E-2</v>
      </c>
      <c r="J868" s="1">
        <v>0.44069999999999998</v>
      </c>
    </row>
    <row r="869" spans="1:10" x14ac:dyDescent="0.2">
      <c r="A869" t="str">
        <f>"05/03/2023"</f>
        <v>05/03/2023</v>
      </c>
      <c r="B869">
        <v>1</v>
      </c>
      <c r="C869">
        <v>91000</v>
      </c>
      <c r="D869">
        <v>175071</v>
      </c>
      <c r="E869">
        <v>91000</v>
      </c>
      <c r="F869">
        <v>91000</v>
      </c>
      <c r="G869" s="1">
        <v>4.2500000000000003E-2</v>
      </c>
      <c r="H869" s="1">
        <v>4.2500000000000003E-2</v>
      </c>
      <c r="I869" s="1">
        <v>4.2500000000000003E-2</v>
      </c>
      <c r="J869" s="1">
        <v>0.46579999999999999</v>
      </c>
    </row>
    <row r="870" spans="1:10" x14ac:dyDescent="0.2">
      <c r="A870" t="str">
        <f>"02/03/2023"</f>
        <v>02/03/2023</v>
      </c>
      <c r="B870">
        <v>3</v>
      </c>
      <c r="C870">
        <v>93000</v>
      </c>
      <c r="D870">
        <v>174790</v>
      </c>
      <c r="E870">
        <v>93000</v>
      </c>
      <c r="F870">
        <v>93000</v>
      </c>
      <c r="G870" s="1">
        <v>4.2500000000000003E-2</v>
      </c>
      <c r="H870" s="1">
        <v>4.2500000000000003E-2</v>
      </c>
      <c r="I870" s="1">
        <v>4.2500000000000003E-2</v>
      </c>
      <c r="J870" s="1">
        <v>0.48480000000000001</v>
      </c>
    </row>
    <row r="871" spans="1:10" x14ac:dyDescent="0.2">
      <c r="A871" t="str">
        <f>"01/03/2023"</f>
        <v>01/03/2023</v>
      </c>
      <c r="B871">
        <v>1</v>
      </c>
      <c r="C871">
        <v>98000</v>
      </c>
      <c r="D871">
        <v>196233</v>
      </c>
      <c r="E871">
        <v>98000</v>
      </c>
      <c r="F871">
        <v>98000</v>
      </c>
      <c r="G871" s="1">
        <v>4.2500000000000003E-2</v>
      </c>
      <c r="H871" s="1">
        <v>4.2500000000000003E-2</v>
      </c>
      <c r="I871" s="1">
        <v>4.2500000000000003E-2</v>
      </c>
      <c r="J871" s="1">
        <v>0.45069999999999999</v>
      </c>
    </row>
    <row r="872" spans="1:10" x14ac:dyDescent="0.2">
      <c r="A872" t="str">
        <f>"28/02/2023"</f>
        <v>28/02/2023</v>
      </c>
      <c r="B872">
        <v>1</v>
      </c>
      <c r="C872">
        <v>89000</v>
      </c>
      <c r="D872">
        <v>164057</v>
      </c>
      <c r="E872">
        <v>89000</v>
      </c>
      <c r="F872">
        <v>89000</v>
      </c>
      <c r="G872" s="1">
        <v>4.2500000000000003E-2</v>
      </c>
      <c r="H872" s="1">
        <v>4.2500000000000003E-2</v>
      </c>
      <c r="I872" s="1">
        <v>4.2500000000000003E-2</v>
      </c>
      <c r="J872" s="1">
        <v>0.49969999999999998</v>
      </c>
    </row>
    <row r="873" spans="1:10" x14ac:dyDescent="0.2">
      <c r="A873" t="str">
        <f>"27/02/2023"</f>
        <v>27/02/2023</v>
      </c>
      <c r="B873">
        <v>1</v>
      </c>
      <c r="C873">
        <v>83000</v>
      </c>
      <c r="D873">
        <v>148715</v>
      </c>
      <c r="E873">
        <v>83000</v>
      </c>
      <c r="F873">
        <v>83000</v>
      </c>
      <c r="G873" s="1">
        <v>4.2500000000000003E-2</v>
      </c>
      <c r="H873" s="1">
        <v>4.2500000000000003E-2</v>
      </c>
      <c r="I873" s="1">
        <v>4.2500000000000003E-2</v>
      </c>
      <c r="J873" s="1">
        <v>0.50980000000000003</v>
      </c>
    </row>
    <row r="874" spans="1:10" x14ac:dyDescent="0.2">
      <c r="A874" t="str">
        <f>"26/02/2023"</f>
        <v>26/02/2023</v>
      </c>
      <c r="B874">
        <v>1</v>
      </c>
      <c r="C874">
        <v>82000</v>
      </c>
      <c r="D874">
        <v>147285</v>
      </c>
      <c r="E874">
        <v>82000</v>
      </c>
      <c r="F874">
        <v>82000</v>
      </c>
      <c r="G874" s="1">
        <v>4.2500000000000003E-2</v>
      </c>
      <c r="H874" s="1">
        <v>4.2500000000000003E-2</v>
      </c>
      <c r="I874" s="1">
        <v>4.2500000000000003E-2</v>
      </c>
      <c r="J874" s="1">
        <v>0.51139999999999997</v>
      </c>
    </row>
    <row r="875" spans="1:10" x14ac:dyDescent="0.2">
      <c r="A875" t="str">
        <f>"23/02/2023"</f>
        <v>23/02/2023</v>
      </c>
      <c r="B875">
        <v>3</v>
      </c>
      <c r="C875">
        <v>85000</v>
      </c>
      <c r="D875">
        <v>143598</v>
      </c>
      <c r="E875">
        <v>85000</v>
      </c>
      <c r="F875">
        <v>85000</v>
      </c>
      <c r="G875" s="1">
        <v>4.2500000000000003E-2</v>
      </c>
      <c r="H875" s="1">
        <v>4.2500000000000003E-2</v>
      </c>
      <c r="I875" s="1">
        <v>4.2500000000000003E-2</v>
      </c>
      <c r="J875" s="1">
        <v>0.55020000000000002</v>
      </c>
    </row>
    <row r="876" spans="1:10" x14ac:dyDescent="0.2">
      <c r="A876" t="str">
        <f>"22/02/2023"</f>
        <v>22/02/2023</v>
      </c>
      <c r="B876">
        <v>1</v>
      </c>
      <c r="C876">
        <v>84000</v>
      </c>
      <c r="D876">
        <v>77450</v>
      </c>
      <c r="E876">
        <v>77450</v>
      </c>
      <c r="F876">
        <v>77450</v>
      </c>
      <c r="G876" s="1">
        <v>3.7499999999999999E-2</v>
      </c>
      <c r="H876" s="1">
        <v>3.7499999999999999E-2</v>
      </c>
      <c r="I876" s="1">
        <v>3.7499999999999999E-2</v>
      </c>
      <c r="J876" s="1">
        <v>1</v>
      </c>
    </row>
    <row r="877" spans="1:10" x14ac:dyDescent="0.2">
      <c r="A877" t="str">
        <f>"21/02/2023"</f>
        <v>21/02/2023</v>
      </c>
      <c r="B877">
        <v>1</v>
      </c>
      <c r="C877">
        <v>89000</v>
      </c>
      <c r="D877">
        <v>145669</v>
      </c>
      <c r="E877">
        <v>89000</v>
      </c>
      <c r="F877">
        <v>89000</v>
      </c>
      <c r="G877" s="1">
        <v>3.7499999999999999E-2</v>
      </c>
      <c r="H877" s="1">
        <v>3.7499999999999999E-2</v>
      </c>
      <c r="I877" s="1">
        <v>3.7499999999999999E-2</v>
      </c>
      <c r="J877" s="1">
        <v>0.57669999999999999</v>
      </c>
    </row>
    <row r="878" spans="1:10" x14ac:dyDescent="0.2">
      <c r="A878" t="str">
        <f>"20/02/2023"</f>
        <v>20/02/2023</v>
      </c>
      <c r="B878">
        <v>1</v>
      </c>
      <c r="C878">
        <v>91000</v>
      </c>
      <c r="D878">
        <v>160302</v>
      </c>
      <c r="E878">
        <v>91000</v>
      </c>
      <c r="F878">
        <v>91000</v>
      </c>
      <c r="G878" s="1">
        <v>3.7499999999999999E-2</v>
      </c>
      <c r="H878" s="1">
        <v>3.7499999999999999E-2</v>
      </c>
      <c r="I878" s="1">
        <v>3.7499999999999999E-2</v>
      </c>
      <c r="J878" s="1">
        <v>0.53480000000000005</v>
      </c>
    </row>
    <row r="879" spans="1:10" x14ac:dyDescent="0.2">
      <c r="A879" t="str">
        <f>"19/02/2023"</f>
        <v>19/02/2023</v>
      </c>
      <c r="B879">
        <v>1</v>
      </c>
      <c r="C879">
        <v>94000</v>
      </c>
      <c r="D879">
        <v>167949</v>
      </c>
      <c r="E879">
        <v>94000</v>
      </c>
      <c r="F879">
        <v>94000</v>
      </c>
      <c r="G879" s="1">
        <v>3.7499999999999999E-2</v>
      </c>
      <c r="H879" s="1">
        <v>3.7499999999999999E-2</v>
      </c>
      <c r="I879" s="1">
        <v>3.7499999999999999E-2</v>
      </c>
      <c r="J879" s="1">
        <v>0.52569999999999995</v>
      </c>
    </row>
    <row r="880" spans="1:10" x14ac:dyDescent="0.2">
      <c r="A880" t="str">
        <f>"16/02/2023"</f>
        <v>16/02/2023</v>
      </c>
      <c r="B880">
        <v>3</v>
      </c>
      <c r="C880">
        <v>94000</v>
      </c>
      <c r="D880">
        <v>179297</v>
      </c>
      <c r="E880">
        <v>94000</v>
      </c>
      <c r="F880">
        <v>94000</v>
      </c>
      <c r="G880" s="1">
        <v>3.7499999999999999E-2</v>
      </c>
      <c r="H880" s="1">
        <v>3.7499999999999999E-2</v>
      </c>
      <c r="I880" s="1">
        <v>3.7499999999999999E-2</v>
      </c>
      <c r="J880" s="1">
        <v>0.49530000000000002</v>
      </c>
    </row>
    <row r="881" spans="1:10" x14ac:dyDescent="0.2">
      <c r="A881" t="str">
        <f>"15/02/2023"</f>
        <v>15/02/2023</v>
      </c>
      <c r="B881">
        <v>1</v>
      </c>
      <c r="C881">
        <v>104000</v>
      </c>
      <c r="D881">
        <v>211003</v>
      </c>
      <c r="E881">
        <v>104000</v>
      </c>
      <c r="F881">
        <v>104000</v>
      </c>
      <c r="G881" s="1">
        <v>3.7499999999999999E-2</v>
      </c>
      <c r="H881" s="1">
        <v>3.7499999999999999E-2</v>
      </c>
      <c r="I881" s="1">
        <v>3.7499999999999999E-2</v>
      </c>
      <c r="J881" s="1">
        <v>0.4627</v>
      </c>
    </row>
    <row r="882" spans="1:10" x14ac:dyDescent="0.2">
      <c r="A882" t="str">
        <f>"14/02/2023"</f>
        <v>14/02/2023</v>
      </c>
      <c r="B882">
        <v>1</v>
      </c>
      <c r="C882">
        <v>105000</v>
      </c>
      <c r="D882">
        <v>210429</v>
      </c>
      <c r="E882">
        <v>105000</v>
      </c>
      <c r="F882">
        <v>105000</v>
      </c>
      <c r="G882" s="1">
        <v>3.7499999999999999E-2</v>
      </c>
      <c r="H882" s="1">
        <v>3.7499999999999999E-2</v>
      </c>
      <c r="I882" s="1">
        <v>3.7499999999999999E-2</v>
      </c>
      <c r="J882" s="1">
        <v>0.46200000000000002</v>
      </c>
    </row>
    <row r="883" spans="1:10" x14ac:dyDescent="0.2">
      <c r="A883" t="str">
        <f>"13/02/2023"</f>
        <v>13/02/2023</v>
      </c>
      <c r="B883">
        <v>1</v>
      </c>
      <c r="C883">
        <v>108000</v>
      </c>
      <c r="D883">
        <v>207603</v>
      </c>
      <c r="E883">
        <v>108000</v>
      </c>
      <c r="F883">
        <v>108000</v>
      </c>
      <c r="G883" s="1">
        <v>3.7499999999999999E-2</v>
      </c>
      <c r="H883" s="1">
        <v>3.7499999999999999E-2</v>
      </c>
      <c r="I883" s="1">
        <v>3.7499999999999999E-2</v>
      </c>
      <c r="J883" s="1">
        <v>0.48259999999999997</v>
      </c>
    </row>
    <row r="884" spans="1:10" x14ac:dyDescent="0.2">
      <c r="A884" t="str">
        <f>"12/02/2023"</f>
        <v>12/02/2023</v>
      </c>
      <c r="B884">
        <v>1</v>
      </c>
      <c r="C884">
        <v>107000</v>
      </c>
      <c r="D884">
        <v>202593</v>
      </c>
      <c r="E884">
        <v>107000</v>
      </c>
      <c r="F884">
        <v>107000</v>
      </c>
      <c r="G884" s="1">
        <v>3.7499999999999999E-2</v>
      </c>
      <c r="H884" s="1">
        <v>3.7499999999999999E-2</v>
      </c>
      <c r="I884" s="1">
        <v>3.7499999999999999E-2</v>
      </c>
      <c r="J884" s="1">
        <v>0.49120000000000003</v>
      </c>
    </row>
    <row r="885" spans="1:10" x14ac:dyDescent="0.2">
      <c r="A885" t="str">
        <f>"09/02/2023"</f>
        <v>09/02/2023</v>
      </c>
      <c r="B885">
        <v>3</v>
      </c>
      <c r="C885">
        <v>109000</v>
      </c>
      <c r="D885">
        <v>196093</v>
      </c>
      <c r="E885">
        <v>109000</v>
      </c>
      <c r="F885">
        <v>109000</v>
      </c>
      <c r="G885" s="1">
        <v>3.7499999999999999E-2</v>
      </c>
      <c r="H885" s="1">
        <v>3.7499999999999999E-2</v>
      </c>
      <c r="I885" s="1">
        <v>3.7499999999999999E-2</v>
      </c>
      <c r="J885" s="1">
        <v>0.52490000000000003</v>
      </c>
    </row>
    <row r="886" spans="1:10" x14ac:dyDescent="0.2">
      <c r="A886" t="str">
        <f>"08/02/2023"</f>
        <v>08/02/2023</v>
      </c>
      <c r="B886">
        <v>1</v>
      </c>
      <c r="C886">
        <v>107000</v>
      </c>
      <c r="D886">
        <v>190888</v>
      </c>
      <c r="E886">
        <v>107000</v>
      </c>
      <c r="F886">
        <v>107000</v>
      </c>
      <c r="G886" s="1">
        <v>3.7499999999999999E-2</v>
      </c>
      <c r="H886" s="1">
        <v>3.7499999999999999E-2</v>
      </c>
      <c r="I886" s="1">
        <v>3.7499999999999999E-2</v>
      </c>
      <c r="J886" s="1">
        <v>0.52549999999999997</v>
      </c>
    </row>
    <row r="887" spans="1:10" x14ac:dyDescent="0.2">
      <c r="A887" t="str">
        <f>"07/02/2023"</f>
        <v>07/02/2023</v>
      </c>
      <c r="B887">
        <v>1</v>
      </c>
      <c r="C887">
        <v>112000</v>
      </c>
      <c r="D887">
        <v>210039</v>
      </c>
      <c r="E887">
        <v>112000</v>
      </c>
      <c r="F887">
        <v>112000</v>
      </c>
      <c r="G887" s="1">
        <v>3.7499999999999999E-2</v>
      </c>
      <c r="H887" s="1">
        <v>3.7499999999999999E-2</v>
      </c>
      <c r="I887" s="1">
        <v>3.7499999999999999E-2</v>
      </c>
      <c r="J887" s="1">
        <v>0.50470000000000004</v>
      </c>
    </row>
    <row r="888" spans="1:10" x14ac:dyDescent="0.2">
      <c r="A888" t="str">
        <f>"06/02/2023"</f>
        <v>06/02/2023</v>
      </c>
      <c r="B888">
        <v>1</v>
      </c>
      <c r="C888">
        <v>113000</v>
      </c>
      <c r="D888">
        <v>205493</v>
      </c>
      <c r="E888">
        <v>113000</v>
      </c>
      <c r="F888">
        <v>113000</v>
      </c>
      <c r="G888" s="1">
        <v>3.7499999999999999E-2</v>
      </c>
      <c r="H888" s="1">
        <v>3.7499999999999999E-2</v>
      </c>
      <c r="I888" s="1">
        <v>3.7499999999999999E-2</v>
      </c>
      <c r="J888" s="1">
        <v>0.51970000000000005</v>
      </c>
    </row>
    <row r="889" spans="1:10" x14ac:dyDescent="0.2">
      <c r="A889" t="str">
        <f>"05/02/2023"</f>
        <v>05/02/2023</v>
      </c>
      <c r="B889">
        <v>1</v>
      </c>
      <c r="C889">
        <v>114000</v>
      </c>
      <c r="D889">
        <v>204136</v>
      </c>
      <c r="E889">
        <v>114000</v>
      </c>
      <c r="F889">
        <v>114000</v>
      </c>
      <c r="G889" s="1">
        <v>3.7499999999999999E-2</v>
      </c>
      <c r="H889" s="1">
        <v>3.7499999999999999E-2</v>
      </c>
      <c r="I889" s="1">
        <v>3.7499999999999999E-2</v>
      </c>
      <c r="J889" s="1">
        <v>0.53069999999999995</v>
      </c>
    </row>
    <row r="890" spans="1:10" x14ac:dyDescent="0.2">
      <c r="A890" t="str">
        <f>"02/02/2023"</f>
        <v>02/02/2023</v>
      </c>
      <c r="B890">
        <v>3</v>
      </c>
      <c r="C890">
        <v>116000</v>
      </c>
      <c r="D890">
        <v>216203</v>
      </c>
      <c r="E890">
        <v>116000</v>
      </c>
      <c r="F890">
        <v>116000</v>
      </c>
      <c r="G890" s="1">
        <v>3.7499999999999999E-2</v>
      </c>
      <c r="H890" s="1">
        <v>3.7499999999999999E-2</v>
      </c>
      <c r="I890" s="1">
        <v>3.7499999999999999E-2</v>
      </c>
      <c r="J890" s="1">
        <v>0.51349999999999996</v>
      </c>
    </row>
    <row r="891" spans="1:10" x14ac:dyDescent="0.2">
      <c r="A891" t="str">
        <f>"01/02/2023"</f>
        <v>01/02/2023</v>
      </c>
      <c r="B891">
        <v>1</v>
      </c>
      <c r="C891">
        <v>112000</v>
      </c>
      <c r="D891">
        <v>209490</v>
      </c>
      <c r="E891">
        <v>112000</v>
      </c>
      <c r="F891">
        <v>112000</v>
      </c>
      <c r="G891" s="1">
        <v>3.7499999999999999E-2</v>
      </c>
      <c r="H891" s="1">
        <v>3.7499999999999999E-2</v>
      </c>
      <c r="I891" s="1">
        <v>3.7499999999999999E-2</v>
      </c>
      <c r="J891" s="1">
        <v>0.50249999999999995</v>
      </c>
    </row>
    <row r="892" spans="1:10" x14ac:dyDescent="0.2">
      <c r="A892" t="str">
        <f>"31/01/2023"</f>
        <v>31/01/2023</v>
      </c>
      <c r="B892">
        <v>1</v>
      </c>
      <c r="C892">
        <v>104000</v>
      </c>
      <c r="D892">
        <v>192388</v>
      </c>
      <c r="E892">
        <v>104000</v>
      </c>
      <c r="F892">
        <v>104000</v>
      </c>
      <c r="G892" s="1">
        <v>3.7499999999999999E-2</v>
      </c>
      <c r="H892" s="1">
        <v>3.7499999999999999E-2</v>
      </c>
      <c r="I892" s="1">
        <v>3.7499999999999999E-2</v>
      </c>
      <c r="J892" s="1">
        <v>0.51570000000000005</v>
      </c>
    </row>
    <row r="893" spans="1:10" x14ac:dyDescent="0.2">
      <c r="A893" t="str">
        <f>"30/01/2023"</f>
        <v>30/01/2023</v>
      </c>
      <c r="B893">
        <v>1</v>
      </c>
      <c r="C893">
        <v>104000</v>
      </c>
      <c r="D893">
        <v>181954</v>
      </c>
      <c r="E893">
        <v>104000</v>
      </c>
      <c r="F893">
        <v>104000</v>
      </c>
      <c r="G893" s="1">
        <v>3.7499999999999999E-2</v>
      </c>
      <c r="H893" s="1">
        <v>3.7499999999999999E-2</v>
      </c>
      <c r="I893" s="1">
        <v>3.7499999999999999E-2</v>
      </c>
      <c r="J893" s="1">
        <v>0.54110000000000003</v>
      </c>
    </row>
    <row r="894" spans="1:10" x14ac:dyDescent="0.2">
      <c r="A894" t="str">
        <f>"29/01/2023"</f>
        <v>29/01/2023</v>
      </c>
      <c r="B894">
        <v>1</v>
      </c>
      <c r="C894">
        <v>105000</v>
      </c>
      <c r="D894">
        <v>181062</v>
      </c>
      <c r="E894">
        <v>105000</v>
      </c>
      <c r="F894">
        <v>105000</v>
      </c>
      <c r="G894" s="1">
        <v>3.7499999999999999E-2</v>
      </c>
      <c r="H894" s="1">
        <v>3.7499999999999999E-2</v>
      </c>
      <c r="I894" s="1">
        <v>3.7499999999999999E-2</v>
      </c>
      <c r="J894" s="1">
        <v>0.54869999999999997</v>
      </c>
    </row>
    <row r="895" spans="1:10" x14ac:dyDescent="0.2">
      <c r="A895" t="str">
        <f>"26/01/2023"</f>
        <v>26/01/2023</v>
      </c>
      <c r="B895">
        <v>3</v>
      </c>
      <c r="C895">
        <v>100000</v>
      </c>
      <c r="D895">
        <v>162554</v>
      </c>
      <c r="E895">
        <v>100000</v>
      </c>
      <c r="F895">
        <v>100000</v>
      </c>
      <c r="G895" s="1">
        <v>3.7499999999999999E-2</v>
      </c>
      <c r="H895" s="1">
        <v>3.7499999999999999E-2</v>
      </c>
      <c r="I895" s="1">
        <v>3.7499999999999999E-2</v>
      </c>
      <c r="J895" s="1">
        <v>0.58730000000000004</v>
      </c>
    </row>
    <row r="896" spans="1:10" x14ac:dyDescent="0.2">
      <c r="A896" t="str">
        <f>"25/01/2023"</f>
        <v>25/01/2023</v>
      </c>
      <c r="B896">
        <v>1</v>
      </c>
      <c r="C896">
        <v>102000</v>
      </c>
      <c r="D896">
        <v>175596</v>
      </c>
      <c r="E896">
        <v>102000</v>
      </c>
      <c r="F896">
        <v>102000</v>
      </c>
      <c r="G896" s="1">
        <v>3.7499999999999999E-2</v>
      </c>
      <c r="H896" s="1">
        <v>3.7499999999999999E-2</v>
      </c>
      <c r="I896" s="1">
        <v>3.7499999999999999E-2</v>
      </c>
      <c r="J896" s="1">
        <v>0.54190000000000005</v>
      </c>
    </row>
    <row r="897" spans="1:10" x14ac:dyDescent="0.2">
      <c r="A897" t="str">
        <f>"24/01/2023"</f>
        <v>24/01/2023</v>
      </c>
      <c r="B897">
        <v>1</v>
      </c>
      <c r="C897">
        <v>110000</v>
      </c>
      <c r="D897">
        <v>195552</v>
      </c>
      <c r="E897">
        <v>110000</v>
      </c>
      <c r="F897">
        <v>110000</v>
      </c>
      <c r="G897" s="1">
        <v>3.7499999999999999E-2</v>
      </c>
      <c r="H897" s="1">
        <v>3.7499999999999999E-2</v>
      </c>
      <c r="I897" s="1">
        <v>3.7499999999999999E-2</v>
      </c>
      <c r="J897" s="1">
        <v>0.53120000000000001</v>
      </c>
    </row>
    <row r="898" spans="1:10" x14ac:dyDescent="0.2">
      <c r="A898" t="str">
        <f>"23/01/2023"</f>
        <v>23/01/2023</v>
      </c>
      <c r="B898">
        <v>1</v>
      </c>
      <c r="C898">
        <v>114000</v>
      </c>
      <c r="D898">
        <v>209784</v>
      </c>
      <c r="E898">
        <v>114000</v>
      </c>
      <c r="F898">
        <v>114000</v>
      </c>
      <c r="G898" s="1">
        <v>3.7499999999999999E-2</v>
      </c>
      <c r="H898" s="1">
        <v>3.7499999999999999E-2</v>
      </c>
      <c r="I898" s="1">
        <v>3.7499999999999999E-2</v>
      </c>
      <c r="J898" s="1">
        <v>0.51280000000000003</v>
      </c>
    </row>
    <row r="899" spans="1:10" x14ac:dyDescent="0.2">
      <c r="A899" t="str">
        <f>"22/01/2023"</f>
        <v>22/01/2023</v>
      </c>
      <c r="B899">
        <v>1</v>
      </c>
      <c r="C899">
        <v>116000</v>
      </c>
      <c r="D899">
        <v>209514</v>
      </c>
      <c r="E899">
        <v>116000</v>
      </c>
      <c r="F899">
        <v>116000</v>
      </c>
      <c r="G899" s="1">
        <v>3.7499999999999999E-2</v>
      </c>
      <c r="H899" s="1">
        <v>3.7499999999999999E-2</v>
      </c>
      <c r="I899" s="1">
        <v>3.7499999999999999E-2</v>
      </c>
      <c r="J899" s="1">
        <v>0.52329999999999999</v>
      </c>
    </row>
    <row r="900" spans="1:10" x14ac:dyDescent="0.2">
      <c r="A900" t="str">
        <f>"19/01/2023"</f>
        <v>19/01/2023</v>
      </c>
      <c r="B900">
        <v>3</v>
      </c>
      <c r="C900">
        <v>124000</v>
      </c>
      <c r="D900">
        <v>221963</v>
      </c>
      <c r="E900">
        <v>124000</v>
      </c>
      <c r="F900">
        <v>124000</v>
      </c>
      <c r="G900" s="1">
        <v>3.7499999999999999E-2</v>
      </c>
      <c r="H900" s="1">
        <v>3.7499999999999999E-2</v>
      </c>
      <c r="I900" s="1">
        <v>3.7499999999999999E-2</v>
      </c>
      <c r="J900" s="1">
        <v>0.53380000000000005</v>
      </c>
    </row>
    <row r="901" spans="1:10" x14ac:dyDescent="0.2">
      <c r="A901" t="str">
        <f>"18/01/2023"</f>
        <v>18/01/2023</v>
      </c>
      <c r="B901">
        <v>1</v>
      </c>
      <c r="C901">
        <v>124000</v>
      </c>
      <c r="D901">
        <v>228550</v>
      </c>
      <c r="E901">
        <v>124000</v>
      </c>
      <c r="F901">
        <v>124000</v>
      </c>
      <c r="G901" s="1">
        <v>3.7499999999999999E-2</v>
      </c>
      <c r="H901" s="1">
        <v>3.7499999999999999E-2</v>
      </c>
      <c r="I901" s="1">
        <v>3.7499999999999999E-2</v>
      </c>
      <c r="J901" s="1">
        <v>0.51090000000000002</v>
      </c>
    </row>
    <row r="902" spans="1:10" x14ac:dyDescent="0.2">
      <c r="A902" t="str">
        <f>"17/01/2023"</f>
        <v>17/01/2023</v>
      </c>
      <c r="B902">
        <v>1</v>
      </c>
      <c r="C902">
        <v>128000</v>
      </c>
      <c r="D902">
        <v>228863</v>
      </c>
      <c r="E902">
        <v>128000</v>
      </c>
      <c r="F902">
        <v>128000</v>
      </c>
      <c r="G902" s="1">
        <v>3.7499999999999999E-2</v>
      </c>
      <c r="H902" s="1">
        <v>3.7499999999999999E-2</v>
      </c>
      <c r="I902" s="1">
        <v>3.7499999999999999E-2</v>
      </c>
      <c r="J902" s="1">
        <v>0.53239999999999998</v>
      </c>
    </row>
    <row r="903" spans="1:10" x14ac:dyDescent="0.2">
      <c r="A903" t="str">
        <f>"16/01/2023"</f>
        <v>16/01/2023</v>
      </c>
      <c r="B903">
        <v>1</v>
      </c>
      <c r="C903">
        <v>132000</v>
      </c>
      <c r="D903">
        <v>239770</v>
      </c>
      <c r="E903">
        <v>132000</v>
      </c>
      <c r="F903">
        <v>132000</v>
      </c>
      <c r="G903" s="1">
        <v>3.7499999999999999E-2</v>
      </c>
      <c r="H903" s="1">
        <v>3.7499999999999999E-2</v>
      </c>
      <c r="I903" s="1">
        <v>3.7499999999999999E-2</v>
      </c>
      <c r="J903" s="1">
        <v>0.5232</v>
      </c>
    </row>
    <row r="904" spans="1:10" x14ac:dyDescent="0.2">
      <c r="A904" t="str">
        <f>"15/01/2023"</f>
        <v>15/01/2023</v>
      </c>
      <c r="B904">
        <v>1</v>
      </c>
      <c r="C904">
        <v>137000</v>
      </c>
      <c r="D904">
        <v>252964</v>
      </c>
      <c r="E904">
        <v>137000</v>
      </c>
      <c r="F904">
        <v>137000</v>
      </c>
      <c r="G904" s="1">
        <v>3.7499999999999999E-2</v>
      </c>
      <c r="H904" s="1">
        <v>3.7499999999999999E-2</v>
      </c>
      <c r="I904" s="1">
        <v>3.7499999999999999E-2</v>
      </c>
      <c r="J904" s="1">
        <v>0.51359999999999995</v>
      </c>
    </row>
    <row r="905" spans="1:10" x14ac:dyDescent="0.2">
      <c r="A905" t="str">
        <f>"12/01/2023"</f>
        <v>12/01/2023</v>
      </c>
      <c r="B905">
        <v>3</v>
      </c>
      <c r="C905">
        <v>140000</v>
      </c>
      <c r="D905">
        <v>267202</v>
      </c>
      <c r="E905">
        <v>140000</v>
      </c>
      <c r="F905">
        <v>140000</v>
      </c>
      <c r="G905" s="1">
        <v>3.7499999999999999E-2</v>
      </c>
      <c r="H905" s="1">
        <v>3.7499999999999999E-2</v>
      </c>
      <c r="I905" s="1">
        <v>3.7499999999999999E-2</v>
      </c>
      <c r="J905" s="1">
        <v>0.50180000000000002</v>
      </c>
    </row>
    <row r="906" spans="1:10" x14ac:dyDescent="0.2">
      <c r="A906" t="str">
        <f>"11/01/2023"</f>
        <v>11/01/2023</v>
      </c>
      <c r="B906">
        <v>1</v>
      </c>
      <c r="C906">
        <v>141000</v>
      </c>
      <c r="D906">
        <v>279972</v>
      </c>
      <c r="E906">
        <v>141000</v>
      </c>
      <c r="F906">
        <v>141000</v>
      </c>
      <c r="G906" s="1">
        <v>3.7499999999999999E-2</v>
      </c>
      <c r="H906" s="1">
        <v>3.7499999999999999E-2</v>
      </c>
      <c r="I906" s="1">
        <v>3.7499999999999999E-2</v>
      </c>
      <c r="J906" s="1">
        <v>0.48089999999999999</v>
      </c>
    </row>
    <row r="907" spans="1:10" x14ac:dyDescent="0.2">
      <c r="A907" t="str">
        <f>"10/01/2023"</f>
        <v>10/01/2023</v>
      </c>
      <c r="B907">
        <v>1</v>
      </c>
      <c r="C907">
        <v>143000</v>
      </c>
      <c r="D907">
        <v>284735</v>
      </c>
      <c r="E907">
        <v>143000</v>
      </c>
      <c r="F907">
        <v>143000</v>
      </c>
      <c r="G907" s="1">
        <v>3.7499999999999999E-2</v>
      </c>
      <c r="H907" s="1">
        <v>3.7499999999999999E-2</v>
      </c>
      <c r="I907" s="1">
        <v>3.7499999999999999E-2</v>
      </c>
      <c r="J907" s="1">
        <v>0.47699999999999998</v>
      </c>
    </row>
    <row r="908" spans="1:10" x14ac:dyDescent="0.2">
      <c r="A908" t="str">
        <f>"09/01/2023"</f>
        <v>09/01/2023</v>
      </c>
      <c r="B908">
        <v>1</v>
      </c>
      <c r="C908">
        <v>143000</v>
      </c>
      <c r="D908">
        <v>276234</v>
      </c>
      <c r="E908">
        <v>143000</v>
      </c>
      <c r="F908">
        <v>143000</v>
      </c>
      <c r="G908" s="1">
        <v>3.7499999999999999E-2</v>
      </c>
      <c r="H908" s="1">
        <v>3.7499999999999999E-2</v>
      </c>
      <c r="I908" s="1">
        <v>3.7499999999999999E-2</v>
      </c>
      <c r="J908" s="1">
        <v>0.49</v>
      </c>
    </row>
    <row r="909" spans="1:10" x14ac:dyDescent="0.2">
      <c r="A909" t="str">
        <f>"08/01/2023"</f>
        <v>08/01/2023</v>
      </c>
      <c r="B909">
        <v>1</v>
      </c>
      <c r="C909">
        <v>143000</v>
      </c>
      <c r="D909">
        <v>269248</v>
      </c>
      <c r="E909">
        <v>143000</v>
      </c>
      <c r="F909">
        <v>143000</v>
      </c>
      <c r="G909" s="1">
        <v>3.7499999999999999E-2</v>
      </c>
      <c r="H909" s="1">
        <v>3.7499999999999999E-2</v>
      </c>
      <c r="I909" s="1">
        <v>3.7499999999999999E-2</v>
      </c>
      <c r="J909" s="1">
        <v>0.50549999999999995</v>
      </c>
    </row>
    <row r="910" spans="1:10" x14ac:dyDescent="0.2">
      <c r="A910" t="str">
        <f>"05/01/2023"</f>
        <v>05/01/2023</v>
      </c>
      <c r="B910">
        <v>3</v>
      </c>
      <c r="C910">
        <v>142000</v>
      </c>
      <c r="D910">
        <v>246406</v>
      </c>
      <c r="E910">
        <v>142000</v>
      </c>
      <c r="F910">
        <v>142000</v>
      </c>
      <c r="G910" s="1">
        <v>3.7499999999999999E-2</v>
      </c>
      <c r="H910" s="1">
        <v>3.7499999999999999E-2</v>
      </c>
      <c r="I910" s="1">
        <v>3.7499999999999999E-2</v>
      </c>
      <c r="J910" s="1">
        <v>0.55210000000000004</v>
      </c>
    </row>
    <row r="911" spans="1:10" x14ac:dyDescent="0.2">
      <c r="A911" t="str">
        <f>"04/01/2023"</f>
        <v>04/01/2023</v>
      </c>
      <c r="B911">
        <v>1</v>
      </c>
      <c r="C911">
        <v>142000</v>
      </c>
      <c r="D911">
        <v>136785</v>
      </c>
      <c r="E911">
        <v>136785</v>
      </c>
      <c r="F911">
        <v>136785</v>
      </c>
      <c r="G911" s="1">
        <v>3.2500000000000001E-2</v>
      </c>
      <c r="H911" s="1">
        <v>3.2500000000000001E-2</v>
      </c>
      <c r="I911" s="1">
        <v>3.2500000000000001E-2</v>
      </c>
      <c r="J911" s="1">
        <v>1</v>
      </c>
    </row>
    <row r="912" spans="1:10" x14ac:dyDescent="0.2">
      <c r="A912" t="str">
        <f>"03/01/2023"</f>
        <v>03/01/2023</v>
      </c>
      <c r="B912">
        <v>1</v>
      </c>
      <c r="C912">
        <v>156000</v>
      </c>
      <c r="D912">
        <v>289471</v>
      </c>
      <c r="E912">
        <v>156000</v>
      </c>
      <c r="F912">
        <v>156000</v>
      </c>
      <c r="G912" s="1">
        <v>3.2500000000000001E-2</v>
      </c>
      <c r="H912" s="1">
        <v>3.2500000000000001E-2</v>
      </c>
      <c r="I912" s="1">
        <v>3.2500000000000001E-2</v>
      </c>
      <c r="J912" s="1">
        <v>0.51819999999999999</v>
      </c>
    </row>
    <row r="913" spans="1:10" x14ac:dyDescent="0.2">
      <c r="A913" t="str">
        <f>"02/01/2023"</f>
        <v>02/01/2023</v>
      </c>
      <c r="B913">
        <v>1</v>
      </c>
      <c r="C913">
        <v>156000</v>
      </c>
      <c r="D913">
        <v>267532</v>
      </c>
      <c r="E913">
        <v>156000</v>
      </c>
      <c r="F913">
        <v>156000</v>
      </c>
      <c r="G913" s="1">
        <v>3.2500000000000001E-2</v>
      </c>
      <c r="H913" s="1">
        <v>3.2500000000000001E-2</v>
      </c>
      <c r="I913" s="1">
        <v>3.2500000000000001E-2</v>
      </c>
      <c r="J913" s="1">
        <v>0.56289999999999996</v>
      </c>
    </row>
    <row r="914" spans="1:10" x14ac:dyDescent="0.2">
      <c r="A914" t="str">
        <f>"01/01/2023"</f>
        <v>01/01/2023</v>
      </c>
      <c r="B914">
        <v>1</v>
      </c>
      <c r="C914">
        <v>159000</v>
      </c>
      <c r="D914">
        <v>275721</v>
      </c>
      <c r="E914">
        <v>159000</v>
      </c>
      <c r="F914">
        <v>159000</v>
      </c>
      <c r="G914" s="1">
        <v>3.2500000000000001E-2</v>
      </c>
      <c r="H914" s="1">
        <v>3.2500000000000001E-2</v>
      </c>
      <c r="I914" s="1">
        <v>3.2500000000000001E-2</v>
      </c>
      <c r="J914" s="1">
        <v>0.5554</v>
      </c>
    </row>
    <row r="915" spans="1:10" x14ac:dyDescent="0.2">
      <c r="A915" t="str">
        <f>"29/12/2022"</f>
        <v>29/12/2022</v>
      </c>
      <c r="B915">
        <v>3</v>
      </c>
      <c r="C915">
        <v>148000</v>
      </c>
      <c r="D915">
        <v>255162</v>
      </c>
      <c r="E915">
        <v>148000</v>
      </c>
      <c r="F915">
        <v>148000</v>
      </c>
      <c r="G915" s="1">
        <v>3.2500000000000001E-2</v>
      </c>
      <c r="H915" s="1">
        <v>3.2500000000000001E-2</v>
      </c>
      <c r="I915" s="1">
        <v>3.2500000000000001E-2</v>
      </c>
      <c r="J915" s="1">
        <v>0.56259999999999999</v>
      </c>
    </row>
    <row r="916" spans="1:10" x14ac:dyDescent="0.2">
      <c r="A916" t="str">
        <f>"28/12/2022"</f>
        <v>28/12/2022</v>
      </c>
      <c r="B916">
        <v>1</v>
      </c>
      <c r="C916">
        <v>138000</v>
      </c>
      <c r="D916">
        <v>245101</v>
      </c>
      <c r="E916">
        <v>138000</v>
      </c>
      <c r="F916">
        <v>138000</v>
      </c>
      <c r="G916" s="1">
        <v>3.2500000000000001E-2</v>
      </c>
      <c r="H916" s="1">
        <v>3.2500000000000001E-2</v>
      </c>
      <c r="I916" s="1">
        <v>3.2500000000000001E-2</v>
      </c>
      <c r="J916" s="1">
        <v>0.53859999999999997</v>
      </c>
    </row>
    <row r="917" spans="1:10" x14ac:dyDescent="0.2">
      <c r="A917" t="str">
        <f>"27/12/2022"</f>
        <v>27/12/2022</v>
      </c>
      <c r="B917">
        <v>1</v>
      </c>
      <c r="C917">
        <v>144000</v>
      </c>
      <c r="D917">
        <v>250124</v>
      </c>
      <c r="E917">
        <v>144000</v>
      </c>
      <c r="F917">
        <v>144000</v>
      </c>
      <c r="G917" s="1">
        <v>3.2500000000000001E-2</v>
      </c>
      <c r="H917" s="1">
        <v>3.2500000000000001E-2</v>
      </c>
      <c r="I917" s="1">
        <v>3.2500000000000001E-2</v>
      </c>
      <c r="J917" s="1">
        <v>0.54879999999999995</v>
      </c>
    </row>
    <row r="918" spans="1:10" x14ac:dyDescent="0.2">
      <c r="A918" t="str">
        <f>"26/12/2022"</f>
        <v>26/12/2022</v>
      </c>
      <c r="B918">
        <v>1</v>
      </c>
      <c r="C918">
        <v>135000</v>
      </c>
      <c r="D918">
        <v>230873</v>
      </c>
      <c r="E918">
        <v>135000</v>
      </c>
      <c r="F918">
        <v>135000</v>
      </c>
      <c r="G918" s="1">
        <v>3.2500000000000001E-2</v>
      </c>
      <c r="H918" s="1">
        <v>3.2500000000000001E-2</v>
      </c>
      <c r="I918" s="1">
        <v>3.2500000000000001E-2</v>
      </c>
      <c r="J918" s="1">
        <v>0.55630000000000002</v>
      </c>
    </row>
    <row r="919" spans="1:10" x14ac:dyDescent="0.2">
      <c r="A919" t="str">
        <f>"25/12/2022"</f>
        <v>25/12/2022</v>
      </c>
      <c r="B919">
        <v>1</v>
      </c>
      <c r="C919">
        <v>134000</v>
      </c>
      <c r="D919">
        <v>215134</v>
      </c>
      <c r="E919">
        <v>134000</v>
      </c>
      <c r="F919">
        <v>134000</v>
      </c>
      <c r="G919" s="1">
        <v>3.2500000000000001E-2</v>
      </c>
      <c r="H919" s="1">
        <v>3.2500000000000001E-2</v>
      </c>
      <c r="I919" s="1">
        <v>3.2500000000000001E-2</v>
      </c>
      <c r="J919" s="1">
        <v>0.59519999999999995</v>
      </c>
    </row>
    <row r="920" spans="1:10" x14ac:dyDescent="0.2">
      <c r="A920" t="str">
        <f>"22/12/2022"</f>
        <v>22/12/2022</v>
      </c>
      <c r="B920">
        <v>3</v>
      </c>
      <c r="C920">
        <v>134000</v>
      </c>
      <c r="D920">
        <v>216430</v>
      </c>
      <c r="E920">
        <v>134000</v>
      </c>
      <c r="F920">
        <v>134000</v>
      </c>
      <c r="G920" s="1">
        <v>3.2500000000000001E-2</v>
      </c>
      <c r="H920" s="1">
        <v>3.2500000000000001E-2</v>
      </c>
      <c r="I920" s="1">
        <v>3.2500000000000001E-2</v>
      </c>
      <c r="J920" s="1">
        <v>0.59670000000000001</v>
      </c>
    </row>
    <row r="921" spans="1:10" x14ac:dyDescent="0.2">
      <c r="A921" t="str">
        <f>"21/12/2022"</f>
        <v>21/12/2022</v>
      </c>
      <c r="B921">
        <v>1</v>
      </c>
      <c r="C921">
        <v>129000</v>
      </c>
      <c r="D921">
        <v>210252</v>
      </c>
      <c r="E921">
        <v>129000</v>
      </c>
      <c r="F921">
        <v>129000</v>
      </c>
      <c r="G921" s="1">
        <v>3.2500000000000001E-2</v>
      </c>
      <c r="H921" s="1">
        <v>3.2500000000000001E-2</v>
      </c>
      <c r="I921" s="1">
        <v>3.2500000000000001E-2</v>
      </c>
      <c r="J921" s="1">
        <v>0.58289999999999997</v>
      </c>
    </row>
    <row r="922" spans="1:10" x14ac:dyDescent="0.2">
      <c r="A922" t="str">
        <f>"20/12/2022"</f>
        <v>20/12/2022</v>
      </c>
      <c r="B922">
        <v>1</v>
      </c>
      <c r="C922">
        <v>131000</v>
      </c>
      <c r="D922">
        <v>211971</v>
      </c>
      <c r="E922">
        <v>131000</v>
      </c>
      <c r="F922">
        <v>131000</v>
      </c>
      <c r="G922" s="1">
        <v>3.2500000000000001E-2</v>
      </c>
      <c r="H922" s="1">
        <v>3.2500000000000001E-2</v>
      </c>
      <c r="I922" s="1">
        <v>3.2500000000000001E-2</v>
      </c>
      <c r="J922" s="1">
        <v>0.5877</v>
      </c>
    </row>
    <row r="923" spans="1:10" x14ac:dyDescent="0.2">
      <c r="A923" t="str">
        <f>"19/12/2022"</f>
        <v>19/12/2022</v>
      </c>
      <c r="B923">
        <v>1</v>
      </c>
      <c r="C923">
        <v>133000</v>
      </c>
      <c r="D923">
        <v>205210</v>
      </c>
      <c r="E923">
        <v>133000</v>
      </c>
      <c r="F923">
        <v>133000</v>
      </c>
      <c r="G923" s="1">
        <v>3.2500000000000001E-2</v>
      </c>
      <c r="H923" s="1">
        <v>3.2500000000000001E-2</v>
      </c>
      <c r="I923" s="1">
        <v>3.2500000000000001E-2</v>
      </c>
      <c r="J923" s="1">
        <v>0.62050000000000005</v>
      </c>
    </row>
    <row r="924" spans="1:10" x14ac:dyDescent="0.2">
      <c r="A924" t="str">
        <f>"18/12/2022"</f>
        <v>18/12/2022</v>
      </c>
      <c r="B924">
        <v>1</v>
      </c>
      <c r="C924">
        <v>134000</v>
      </c>
      <c r="D924">
        <v>198417</v>
      </c>
      <c r="E924">
        <v>134000</v>
      </c>
      <c r="F924">
        <v>134000</v>
      </c>
      <c r="G924" s="1">
        <v>3.2500000000000001E-2</v>
      </c>
      <c r="H924" s="1">
        <v>3.2500000000000001E-2</v>
      </c>
      <c r="I924" s="1">
        <v>3.2500000000000001E-2</v>
      </c>
      <c r="J924" s="1">
        <v>0.65139999999999998</v>
      </c>
    </row>
    <row r="925" spans="1:10" x14ac:dyDescent="0.2">
      <c r="A925" t="str">
        <f>"15/12/2022"</f>
        <v>15/12/2022</v>
      </c>
      <c r="B925">
        <v>3</v>
      </c>
      <c r="C925">
        <v>139000</v>
      </c>
      <c r="D925">
        <v>218591</v>
      </c>
      <c r="E925">
        <v>139000</v>
      </c>
      <c r="F925">
        <v>139000</v>
      </c>
      <c r="G925" s="1">
        <v>3.2500000000000001E-2</v>
      </c>
      <c r="H925" s="1">
        <v>3.2500000000000001E-2</v>
      </c>
      <c r="I925" s="1">
        <v>3.2500000000000001E-2</v>
      </c>
      <c r="J925" s="1">
        <v>0.61329999999999996</v>
      </c>
    </row>
    <row r="926" spans="1:10" x14ac:dyDescent="0.2">
      <c r="A926" t="str">
        <f>"14/12/2022"</f>
        <v>14/12/2022</v>
      </c>
      <c r="B926">
        <v>1</v>
      </c>
      <c r="C926">
        <v>142000</v>
      </c>
      <c r="D926">
        <v>241963</v>
      </c>
      <c r="E926">
        <v>142000</v>
      </c>
      <c r="F926">
        <v>142000</v>
      </c>
      <c r="G926" s="1">
        <v>3.2500000000000001E-2</v>
      </c>
      <c r="H926" s="1">
        <v>3.2500000000000001E-2</v>
      </c>
      <c r="I926" s="1">
        <v>3.2500000000000001E-2</v>
      </c>
      <c r="J926" s="1">
        <v>0.55569999999999997</v>
      </c>
    </row>
    <row r="927" spans="1:10" x14ac:dyDescent="0.2">
      <c r="A927" t="str">
        <f>"13/12/2022"</f>
        <v>13/12/2022</v>
      </c>
      <c r="B927">
        <v>1</v>
      </c>
      <c r="C927">
        <v>153000</v>
      </c>
      <c r="D927">
        <v>261145</v>
      </c>
      <c r="E927">
        <v>153000</v>
      </c>
      <c r="F927">
        <v>153000</v>
      </c>
      <c r="G927" s="1">
        <v>3.2500000000000001E-2</v>
      </c>
      <c r="H927" s="1">
        <v>3.2500000000000001E-2</v>
      </c>
      <c r="I927" s="1">
        <v>3.2500000000000001E-2</v>
      </c>
      <c r="J927" s="1">
        <v>0.55730000000000002</v>
      </c>
    </row>
    <row r="928" spans="1:10" x14ac:dyDescent="0.2">
      <c r="A928" t="str">
        <f>"12/12/2022"</f>
        <v>12/12/2022</v>
      </c>
      <c r="B928">
        <v>1</v>
      </c>
      <c r="C928">
        <v>154000</v>
      </c>
      <c r="D928">
        <v>263650</v>
      </c>
      <c r="E928">
        <v>154000</v>
      </c>
      <c r="F928">
        <v>154000</v>
      </c>
      <c r="G928" s="1">
        <v>3.2500000000000001E-2</v>
      </c>
      <c r="H928" s="1">
        <v>3.2500000000000001E-2</v>
      </c>
      <c r="I928" s="1">
        <v>3.2500000000000001E-2</v>
      </c>
      <c r="J928" s="1">
        <v>0.55379999999999996</v>
      </c>
    </row>
    <row r="929" spans="1:10" x14ac:dyDescent="0.2">
      <c r="A929" t="str">
        <f>"11/12/2022"</f>
        <v>11/12/2022</v>
      </c>
      <c r="B929">
        <v>1</v>
      </c>
      <c r="C929">
        <v>154000</v>
      </c>
      <c r="D929">
        <v>263394</v>
      </c>
      <c r="E929">
        <v>154000</v>
      </c>
      <c r="F929">
        <v>154000</v>
      </c>
      <c r="G929" s="1">
        <v>3.2500000000000001E-2</v>
      </c>
      <c r="H929" s="1">
        <v>3.2500000000000001E-2</v>
      </c>
      <c r="I929" s="1">
        <v>3.2500000000000001E-2</v>
      </c>
      <c r="J929" s="1">
        <v>0.55279999999999996</v>
      </c>
    </row>
    <row r="930" spans="1:10" x14ac:dyDescent="0.2">
      <c r="A930" t="str">
        <f>"08/12/2022"</f>
        <v>08/12/2022</v>
      </c>
      <c r="B930">
        <v>3</v>
      </c>
      <c r="C930">
        <v>154000</v>
      </c>
      <c r="D930">
        <v>254579</v>
      </c>
      <c r="E930">
        <v>154000</v>
      </c>
      <c r="F930">
        <v>154000</v>
      </c>
      <c r="G930" s="1">
        <v>3.2500000000000001E-2</v>
      </c>
      <c r="H930" s="1">
        <v>3.2500000000000001E-2</v>
      </c>
      <c r="I930" s="1">
        <v>3.2500000000000001E-2</v>
      </c>
      <c r="J930" s="1">
        <v>0.57779999999999998</v>
      </c>
    </row>
    <row r="931" spans="1:10" x14ac:dyDescent="0.2">
      <c r="A931" t="str">
        <f>"07/12/2022"</f>
        <v>07/12/2022</v>
      </c>
      <c r="B931">
        <v>1</v>
      </c>
      <c r="C931">
        <v>154000</v>
      </c>
      <c r="D931">
        <v>269447</v>
      </c>
      <c r="E931">
        <v>154000</v>
      </c>
      <c r="F931">
        <v>154000</v>
      </c>
      <c r="G931" s="1">
        <v>3.2500000000000001E-2</v>
      </c>
      <c r="H931" s="1">
        <v>3.2500000000000001E-2</v>
      </c>
      <c r="I931" s="1">
        <v>3.2500000000000001E-2</v>
      </c>
      <c r="J931" s="1">
        <v>0.54269999999999996</v>
      </c>
    </row>
    <row r="932" spans="1:10" x14ac:dyDescent="0.2">
      <c r="A932" t="str">
        <f>"06/12/2022"</f>
        <v>06/12/2022</v>
      </c>
      <c r="B932">
        <v>1</v>
      </c>
      <c r="C932">
        <v>174000</v>
      </c>
      <c r="D932">
        <v>318398</v>
      </c>
      <c r="E932">
        <v>174000</v>
      </c>
      <c r="F932">
        <v>174000</v>
      </c>
      <c r="G932" s="1">
        <v>3.2500000000000001E-2</v>
      </c>
      <c r="H932" s="1">
        <v>3.2500000000000001E-2</v>
      </c>
      <c r="I932" s="1">
        <v>3.2500000000000001E-2</v>
      </c>
      <c r="J932" s="1">
        <v>0.52300000000000002</v>
      </c>
    </row>
    <row r="933" spans="1:10" x14ac:dyDescent="0.2">
      <c r="A933" t="str">
        <f>"05/12/2022"</f>
        <v>05/12/2022</v>
      </c>
      <c r="B933">
        <v>1</v>
      </c>
      <c r="C933">
        <v>172000</v>
      </c>
      <c r="D933">
        <v>315361</v>
      </c>
      <c r="E933">
        <v>172000</v>
      </c>
      <c r="F933">
        <v>172000</v>
      </c>
      <c r="G933" s="1">
        <v>3.2500000000000001E-2</v>
      </c>
      <c r="H933" s="1">
        <v>3.2500000000000001E-2</v>
      </c>
      <c r="I933" s="1">
        <v>3.2500000000000001E-2</v>
      </c>
      <c r="J933" s="1">
        <v>0.52</v>
      </c>
    </row>
    <row r="934" spans="1:10" x14ac:dyDescent="0.2">
      <c r="A934" t="str">
        <f>"04/12/2022"</f>
        <v>04/12/2022</v>
      </c>
      <c r="B934">
        <v>1</v>
      </c>
      <c r="C934">
        <v>172000</v>
      </c>
      <c r="D934">
        <v>308328</v>
      </c>
      <c r="E934">
        <v>172000</v>
      </c>
      <c r="F934">
        <v>172000</v>
      </c>
      <c r="G934" s="1">
        <v>3.2500000000000001E-2</v>
      </c>
      <c r="H934" s="1">
        <v>3.2500000000000001E-2</v>
      </c>
      <c r="I934" s="1">
        <v>3.2500000000000001E-2</v>
      </c>
      <c r="J934" s="1">
        <v>0.53500000000000003</v>
      </c>
    </row>
    <row r="935" spans="1:10" x14ac:dyDescent="0.2">
      <c r="A935" t="str">
        <f>"01/12/2022"</f>
        <v>01/12/2022</v>
      </c>
      <c r="B935">
        <v>3</v>
      </c>
      <c r="C935">
        <v>171000</v>
      </c>
      <c r="D935">
        <v>292753</v>
      </c>
      <c r="E935">
        <v>171000</v>
      </c>
      <c r="F935">
        <v>171000</v>
      </c>
      <c r="G935" s="1">
        <v>3.2500000000000001E-2</v>
      </c>
      <c r="H935" s="1">
        <v>3.2500000000000001E-2</v>
      </c>
      <c r="I935" s="1">
        <v>3.2500000000000001E-2</v>
      </c>
      <c r="J935" s="1">
        <v>0.56130000000000002</v>
      </c>
    </row>
    <row r="936" spans="1:10" x14ac:dyDescent="0.2">
      <c r="A936" t="str">
        <f>"30/11/2022"</f>
        <v>30/11/2022</v>
      </c>
      <c r="B936">
        <v>1</v>
      </c>
      <c r="C936">
        <v>162000</v>
      </c>
      <c r="D936">
        <v>255835</v>
      </c>
      <c r="E936">
        <v>162000</v>
      </c>
      <c r="F936">
        <v>162000</v>
      </c>
      <c r="G936" s="1">
        <v>3.2500000000000001E-2</v>
      </c>
      <c r="H936" s="1">
        <v>3.2500000000000001E-2</v>
      </c>
      <c r="I936" s="1">
        <v>3.2500000000000001E-2</v>
      </c>
      <c r="J936" s="1">
        <v>0.60329999999999995</v>
      </c>
    </row>
    <row r="937" spans="1:10" x14ac:dyDescent="0.2">
      <c r="A937" t="str">
        <f>"29/11/2022"</f>
        <v>29/11/2022</v>
      </c>
      <c r="B937">
        <v>1</v>
      </c>
      <c r="C937">
        <v>155000</v>
      </c>
      <c r="D937">
        <v>244612</v>
      </c>
      <c r="E937">
        <v>155000</v>
      </c>
      <c r="F937">
        <v>155000</v>
      </c>
      <c r="G937" s="1">
        <v>3.2500000000000001E-2</v>
      </c>
      <c r="H937" s="1">
        <v>3.2500000000000001E-2</v>
      </c>
      <c r="I937" s="1">
        <v>3.2500000000000001E-2</v>
      </c>
      <c r="J937" s="1">
        <v>0.6089</v>
      </c>
    </row>
    <row r="938" spans="1:10" x14ac:dyDescent="0.2">
      <c r="A938" t="str">
        <f>"28/11/2022"</f>
        <v>28/11/2022</v>
      </c>
      <c r="B938">
        <v>1</v>
      </c>
      <c r="C938">
        <v>156000</v>
      </c>
      <c r="D938">
        <v>248960</v>
      </c>
      <c r="E938">
        <v>156000</v>
      </c>
      <c r="F938">
        <v>156000</v>
      </c>
      <c r="G938" s="1">
        <v>3.2500000000000001E-2</v>
      </c>
      <c r="H938" s="1">
        <v>3.2500000000000001E-2</v>
      </c>
      <c r="I938" s="1">
        <v>3.2500000000000001E-2</v>
      </c>
      <c r="J938" s="1">
        <v>0.60099999999999998</v>
      </c>
    </row>
    <row r="939" spans="1:10" x14ac:dyDescent="0.2">
      <c r="A939" t="str">
        <f>"27/11/2022"</f>
        <v>27/11/2022</v>
      </c>
      <c r="B939">
        <v>1</v>
      </c>
      <c r="C939">
        <v>150000</v>
      </c>
      <c r="D939">
        <v>252440</v>
      </c>
      <c r="E939">
        <v>150000</v>
      </c>
      <c r="F939">
        <v>150000</v>
      </c>
      <c r="G939" s="1">
        <v>3.2500000000000001E-2</v>
      </c>
      <c r="H939" s="1">
        <v>3.2500000000000001E-2</v>
      </c>
      <c r="I939" s="1">
        <v>3.2500000000000001E-2</v>
      </c>
      <c r="J939" s="1">
        <v>0.56859999999999999</v>
      </c>
    </row>
    <row r="940" spans="1:10" x14ac:dyDescent="0.2">
      <c r="A940" t="str">
        <f>"24/11/2022"</f>
        <v>24/11/2022</v>
      </c>
      <c r="B940">
        <v>3</v>
      </c>
      <c r="C940">
        <v>150000</v>
      </c>
      <c r="D940">
        <v>283435</v>
      </c>
      <c r="E940">
        <v>150000</v>
      </c>
      <c r="F940">
        <v>150000</v>
      </c>
      <c r="G940" s="1">
        <v>3.2500000000000001E-2</v>
      </c>
      <c r="H940" s="1">
        <v>3.2500000000000001E-2</v>
      </c>
      <c r="I940" s="1">
        <v>3.2500000000000001E-2</v>
      </c>
      <c r="J940" s="1">
        <v>0.50890000000000002</v>
      </c>
    </row>
    <row r="941" spans="1:10" x14ac:dyDescent="0.2">
      <c r="A941" t="str">
        <f>"23/11/2022"</f>
        <v>23/11/2022</v>
      </c>
      <c r="B941">
        <v>1</v>
      </c>
      <c r="C941">
        <v>153000</v>
      </c>
      <c r="D941">
        <v>144853</v>
      </c>
      <c r="E941">
        <v>144853</v>
      </c>
      <c r="F941">
        <v>144853</v>
      </c>
      <c r="G941" s="1">
        <v>2.75E-2</v>
      </c>
      <c r="H941" s="1">
        <v>2.75E-2</v>
      </c>
      <c r="I941" s="1">
        <v>2.75E-2</v>
      </c>
      <c r="J941" s="1">
        <v>1</v>
      </c>
    </row>
    <row r="942" spans="1:10" x14ac:dyDescent="0.2">
      <c r="A942" t="str">
        <f>"22/11/2022"</f>
        <v>22/11/2022</v>
      </c>
      <c r="B942">
        <v>1</v>
      </c>
      <c r="C942">
        <v>148000</v>
      </c>
      <c r="D942">
        <v>269666</v>
      </c>
      <c r="E942">
        <v>148000</v>
      </c>
      <c r="F942">
        <v>148000</v>
      </c>
      <c r="G942" s="1">
        <v>2.75E-2</v>
      </c>
      <c r="H942" s="1">
        <v>2.75E-2</v>
      </c>
      <c r="I942" s="1">
        <v>2.75E-2</v>
      </c>
      <c r="J942" s="1">
        <v>0.52290000000000003</v>
      </c>
    </row>
    <row r="943" spans="1:10" x14ac:dyDescent="0.2">
      <c r="A943" t="str">
        <f>"21/11/2022"</f>
        <v>21/11/2022</v>
      </c>
      <c r="B943">
        <v>1</v>
      </c>
      <c r="C943">
        <v>148000</v>
      </c>
      <c r="D943">
        <v>260659</v>
      </c>
      <c r="E943">
        <v>148000</v>
      </c>
      <c r="F943">
        <v>148000</v>
      </c>
      <c r="G943" s="1">
        <v>2.75E-2</v>
      </c>
      <c r="H943" s="1">
        <v>2.75E-2</v>
      </c>
      <c r="I943" s="1">
        <v>2.75E-2</v>
      </c>
      <c r="J943" s="1">
        <v>0.53669999999999995</v>
      </c>
    </row>
    <row r="944" spans="1:10" x14ac:dyDescent="0.2">
      <c r="A944" t="str">
        <f>"20/11/2022"</f>
        <v>20/11/2022</v>
      </c>
      <c r="B944">
        <v>1</v>
      </c>
      <c r="C944">
        <v>152000</v>
      </c>
      <c r="D944">
        <v>262304</v>
      </c>
      <c r="E944">
        <v>152000</v>
      </c>
      <c r="F944">
        <v>152000</v>
      </c>
      <c r="G944" s="1">
        <v>2.75E-2</v>
      </c>
      <c r="H944" s="1">
        <v>2.75E-2</v>
      </c>
      <c r="I944" s="1">
        <v>2.75E-2</v>
      </c>
      <c r="J944" s="1">
        <v>0.55069999999999997</v>
      </c>
    </row>
    <row r="945" spans="1:10" x14ac:dyDescent="0.2">
      <c r="A945" t="str">
        <f>"17/11/2022"</f>
        <v>17/11/2022</v>
      </c>
      <c r="B945">
        <v>3</v>
      </c>
      <c r="C945">
        <v>154000</v>
      </c>
      <c r="D945">
        <v>265962</v>
      </c>
      <c r="E945">
        <v>154000</v>
      </c>
      <c r="F945">
        <v>154000</v>
      </c>
      <c r="G945" s="1">
        <v>2.75E-2</v>
      </c>
      <c r="H945" s="1">
        <v>2.75E-2</v>
      </c>
      <c r="I945" s="1">
        <v>2.75E-2</v>
      </c>
      <c r="J945" s="1">
        <v>0.5544</v>
      </c>
    </row>
    <row r="946" spans="1:10" x14ac:dyDescent="0.2">
      <c r="A946" t="str">
        <f>"16/11/2022"</f>
        <v>16/11/2022</v>
      </c>
      <c r="B946">
        <v>1</v>
      </c>
      <c r="C946">
        <v>156000</v>
      </c>
      <c r="D946">
        <v>273429</v>
      </c>
      <c r="E946">
        <v>156000</v>
      </c>
      <c r="F946">
        <v>156000</v>
      </c>
      <c r="G946" s="1">
        <v>2.75E-2</v>
      </c>
      <c r="H946" s="1">
        <v>2.75E-2</v>
      </c>
      <c r="I946" s="1">
        <v>2.75E-2</v>
      </c>
      <c r="J946" s="1">
        <v>0.53759999999999997</v>
      </c>
    </row>
    <row r="947" spans="1:10" x14ac:dyDescent="0.2">
      <c r="A947" t="str">
        <f>"15/11/2022"</f>
        <v>15/11/2022</v>
      </c>
      <c r="B947">
        <v>1</v>
      </c>
      <c r="C947">
        <v>164000</v>
      </c>
      <c r="D947">
        <v>295532</v>
      </c>
      <c r="E947">
        <v>164000</v>
      </c>
      <c r="F947">
        <v>164000</v>
      </c>
      <c r="G947" s="1">
        <v>2.75E-2</v>
      </c>
      <c r="H947" s="1">
        <v>2.75E-2</v>
      </c>
      <c r="I947" s="1">
        <v>2.75E-2</v>
      </c>
      <c r="J947" s="1">
        <v>0.52159999999999995</v>
      </c>
    </row>
    <row r="948" spans="1:10" x14ac:dyDescent="0.2">
      <c r="A948" t="str">
        <f>"14/11/2022"</f>
        <v>14/11/2022</v>
      </c>
      <c r="B948">
        <v>1</v>
      </c>
      <c r="C948">
        <v>169000</v>
      </c>
      <c r="D948">
        <v>314386</v>
      </c>
      <c r="E948">
        <v>169000</v>
      </c>
      <c r="F948">
        <v>169000</v>
      </c>
      <c r="G948" s="1">
        <v>2.75E-2</v>
      </c>
      <c r="H948" s="1">
        <v>2.75E-2</v>
      </c>
      <c r="I948" s="1">
        <v>2.75E-2</v>
      </c>
      <c r="J948" s="1">
        <v>0.505</v>
      </c>
    </row>
    <row r="949" spans="1:10" x14ac:dyDescent="0.2">
      <c r="A949" t="str">
        <f>"13/11/2022"</f>
        <v>13/11/2022</v>
      </c>
      <c r="B949">
        <v>1</v>
      </c>
      <c r="C949">
        <v>172000</v>
      </c>
      <c r="D949">
        <v>324416</v>
      </c>
      <c r="E949">
        <v>172000</v>
      </c>
      <c r="F949">
        <v>172000</v>
      </c>
      <c r="G949" s="1">
        <v>2.75E-2</v>
      </c>
      <c r="H949" s="1">
        <v>2.75E-2</v>
      </c>
      <c r="I949" s="1">
        <v>2.75E-2</v>
      </c>
      <c r="J949" s="1">
        <v>0.50009999999999999</v>
      </c>
    </row>
    <row r="950" spans="1:10" x14ac:dyDescent="0.2">
      <c r="A950" t="str">
        <f>"10/11/2022"</f>
        <v>10/11/2022</v>
      </c>
      <c r="B950">
        <v>3</v>
      </c>
      <c r="C950">
        <v>169000</v>
      </c>
      <c r="D950">
        <v>340284</v>
      </c>
      <c r="E950">
        <v>169000</v>
      </c>
      <c r="F950">
        <v>169000</v>
      </c>
      <c r="G950" s="1">
        <v>2.75E-2</v>
      </c>
      <c r="H950" s="1">
        <v>2.75E-2</v>
      </c>
      <c r="I950" s="1">
        <v>2.75E-2</v>
      </c>
      <c r="J950" s="1">
        <v>0.4698</v>
      </c>
    </row>
    <row r="951" spans="1:10" x14ac:dyDescent="0.2">
      <c r="A951" t="str">
        <f>"09/11/2022"</f>
        <v>09/11/2022</v>
      </c>
      <c r="B951">
        <v>1</v>
      </c>
      <c r="C951">
        <v>166000</v>
      </c>
      <c r="D951">
        <v>340869</v>
      </c>
      <c r="E951">
        <v>166000</v>
      </c>
      <c r="F951">
        <v>166000</v>
      </c>
      <c r="G951" s="1">
        <v>2.75E-2</v>
      </c>
      <c r="H951" s="1">
        <v>2.75E-2</v>
      </c>
      <c r="I951" s="1">
        <v>2.75E-2</v>
      </c>
      <c r="J951" s="1">
        <v>0.45390000000000003</v>
      </c>
    </row>
    <row r="952" spans="1:10" x14ac:dyDescent="0.2">
      <c r="A952" t="str">
        <f>"08/11/2022"</f>
        <v>08/11/2022</v>
      </c>
      <c r="B952">
        <v>1</v>
      </c>
      <c r="C952">
        <v>166000</v>
      </c>
      <c r="D952">
        <v>338143</v>
      </c>
      <c r="E952">
        <v>166000</v>
      </c>
      <c r="F952">
        <v>166000</v>
      </c>
      <c r="G952" s="1">
        <v>2.75E-2</v>
      </c>
      <c r="H952" s="1">
        <v>2.75E-2</v>
      </c>
      <c r="I952" s="1">
        <v>2.75E-2</v>
      </c>
      <c r="J952" s="1">
        <v>0.45750000000000002</v>
      </c>
    </row>
    <row r="953" spans="1:10" x14ac:dyDescent="0.2">
      <c r="A953" t="str">
        <f>"07/11/2022"</f>
        <v>07/11/2022</v>
      </c>
      <c r="B953">
        <v>1</v>
      </c>
      <c r="C953">
        <v>167000</v>
      </c>
      <c r="D953">
        <v>329250</v>
      </c>
      <c r="E953">
        <v>167000</v>
      </c>
      <c r="F953">
        <v>167000</v>
      </c>
      <c r="G953" s="1">
        <v>2.75E-2</v>
      </c>
      <c r="H953" s="1">
        <v>2.75E-2</v>
      </c>
      <c r="I953" s="1">
        <v>2.75E-2</v>
      </c>
      <c r="J953" s="1">
        <v>0.4733</v>
      </c>
    </row>
    <row r="954" spans="1:10" x14ac:dyDescent="0.2">
      <c r="A954" t="str">
        <f>"06/11/2022"</f>
        <v>06/11/2022</v>
      </c>
      <c r="B954">
        <v>1</v>
      </c>
      <c r="C954">
        <v>167000</v>
      </c>
      <c r="D954">
        <v>319288</v>
      </c>
      <c r="E954">
        <v>167000</v>
      </c>
      <c r="F954">
        <v>167000</v>
      </c>
      <c r="G954" s="1">
        <v>2.75E-2</v>
      </c>
      <c r="H954" s="1">
        <v>2.75E-2</v>
      </c>
      <c r="I954" s="1">
        <v>2.75E-2</v>
      </c>
      <c r="J954" s="1">
        <v>0.4879</v>
      </c>
    </row>
    <row r="955" spans="1:10" x14ac:dyDescent="0.2">
      <c r="A955" t="str">
        <f>"03/11/2022"</f>
        <v>03/11/2022</v>
      </c>
      <c r="B955">
        <v>3</v>
      </c>
      <c r="C955">
        <v>167000</v>
      </c>
      <c r="D955">
        <v>326105</v>
      </c>
      <c r="E955">
        <v>167000</v>
      </c>
      <c r="F955">
        <v>167000</v>
      </c>
      <c r="G955" s="1">
        <v>2.75E-2</v>
      </c>
      <c r="H955" s="1">
        <v>2.75E-2</v>
      </c>
      <c r="I955" s="1">
        <v>2.75E-2</v>
      </c>
      <c r="J955" s="1">
        <v>0.4839</v>
      </c>
    </row>
    <row r="956" spans="1:10" x14ac:dyDescent="0.2">
      <c r="A956" t="str">
        <f>"02/11/2022"</f>
        <v>02/11/2022</v>
      </c>
      <c r="B956">
        <v>1</v>
      </c>
      <c r="C956">
        <v>164000</v>
      </c>
      <c r="D956">
        <v>319086</v>
      </c>
      <c r="E956">
        <v>164000</v>
      </c>
      <c r="F956">
        <v>164000</v>
      </c>
      <c r="G956" s="1">
        <v>2.75E-2</v>
      </c>
      <c r="H956" s="1">
        <v>2.75E-2</v>
      </c>
      <c r="I956" s="1">
        <v>2.75E-2</v>
      </c>
      <c r="J956" s="1">
        <v>0.4783</v>
      </c>
    </row>
    <row r="957" spans="1:10" x14ac:dyDescent="0.2">
      <c r="A957" t="str">
        <f>"31/10/2022"</f>
        <v>31/10/2022</v>
      </c>
      <c r="B957">
        <v>2</v>
      </c>
      <c r="C957">
        <v>172000</v>
      </c>
      <c r="D957">
        <v>353358</v>
      </c>
      <c r="E957">
        <v>172000</v>
      </c>
      <c r="F957">
        <v>172000</v>
      </c>
      <c r="G957" s="1">
        <v>2.75E-2</v>
      </c>
      <c r="H957" s="1">
        <v>2.75E-2</v>
      </c>
      <c r="I957" s="1">
        <v>2.75E-2</v>
      </c>
      <c r="J957" s="1">
        <v>0.45700000000000002</v>
      </c>
    </row>
    <row r="958" spans="1:10" x14ac:dyDescent="0.2">
      <c r="A958" t="str">
        <f>"30/10/2022"</f>
        <v>30/10/2022</v>
      </c>
      <c r="B958">
        <v>1</v>
      </c>
      <c r="C958">
        <v>168000</v>
      </c>
      <c r="D958">
        <v>345656</v>
      </c>
      <c r="E958">
        <v>168000</v>
      </c>
      <c r="F958">
        <v>168000</v>
      </c>
      <c r="G958" s="1">
        <v>2.75E-2</v>
      </c>
      <c r="H958" s="1">
        <v>2.75E-2</v>
      </c>
      <c r="I958" s="1">
        <v>2.75E-2</v>
      </c>
      <c r="J958" s="1">
        <v>0.45250000000000001</v>
      </c>
    </row>
    <row r="959" spans="1:10" x14ac:dyDescent="0.2">
      <c r="A959" t="str">
        <f>"27/10/2022"</f>
        <v>27/10/2022</v>
      </c>
      <c r="B959">
        <v>3</v>
      </c>
      <c r="C959">
        <v>165000</v>
      </c>
      <c r="D959">
        <v>325264</v>
      </c>
      <c r="E959">
        <v>165000</v>
      </c>
      <c r="F959">
        <v>165000</v>
      </c>
      <c r="G959" s="1">
        <v>2.75E-2</v>
      </c>
      <c r="H959" s="1">
        <v>2.75E-2</v>
      </c>
      <c r="I959" s="1">
        <v>2.75E-2</v>
      </c>
      <c r="J959" s="1">
        <v>0.47739999999999999</v>
      </c>
    </row>
    <row r="960" spans="1:10" x14ac:dyDescent="0.2">
      <c r="A960" t="str">
        <f>"26/10/2022"</f>
        <v>26/10/2022</v>
      </c>
      <c r="B960">
        <v>1</v>
      </c>
      <c r="C960">
        <v>160000</v>
      </c>
      <c r="D960">
        <v>320103</v>
      </c>
      <c r="E960">
        <v>160000</v>
      </c>
      <c r="F960">
        <v>160000</v>
      </c>
      <c r="G960" s="1">
        <v>2.75E-2</v>
      </c>
      <c r="H960" s="1">
        <v>2.75E-2</v>
      </c>
      <c r="I960" s="1">
        <v>2.75E-2</v>
      </c>
      <c r="J960" s="1">
        <v>0.46610000000000001</v>
      </c>
    </row>
    <row r="961" spans="1:10" x14ac:dyDescent="0.2">
      <c r="A961" t="str">
        <f>"25/10/2022"</f>
        <v>25/10/2022</v>
      </c>
      <c r="B961">
        <v>1</v>
      </c>
      <c r="C961">
        <v>164000</v>
      </c>
      <c r="D961">
        <v>327157</v>
      </c>
      <c r="E961">
        <v>164000</v>
      </c>
      <c r="F961">
        <v>164000</v>
      </c>
      <c r="G961" s="1">
        <v>2.75E-2</v>
      </c>
      <c r="H961" s="1">
        <v>2.75E-2</v>
      </c>
      <c r="I961" s="1">
        <v>2.75E-2</v>
      </c>
      <c r="J961" s="1">
        <v>0.46600000000000003</v>
      </c>
    </row>
    <row r="962" spans="1:10" x14ac:dyDescent="0.2">
      <c r="A962" t="str">
        <f>"24/10/2022"</f>
        <v>24/10/2022</v>
      </c>
      <c r="B962">
        <v>1</v>
      </c>
      <c r="C962">
        <v>169000</v>
      </c>
      <c r="D962">
        <v>354985</v>
      </c>
      <c r="E962">
        <v>169000</v>
      </c>
      <c r="F962">
        <v>169000</v>
      </c>
      <c r="G962" s="1">
        <v>2.75E-2</v>
      </c>
      <c r="H962" s="1">
        <v>2.75E-2</v>
      </c>
      <c r="I962" s="1">
        <v>2.75E-2</v>
      </c>
      <c r="J962" s="1">
        <v>0.44080000000000003</v>
      </c>
    </row>
    <row r="963" spans="1:10" x14ac:dyDescent="0.2">
      <c r="A963" t="str">
        <f>"23/10/2022"</f>
        <v>23/10/2022</v>
      </c>
      <c r="B963">
        <v>1</v>
      </c>
      <c r="C963">
        <v>174000</v>
      </c>
      <c r="D963">
        <v>370915</v>
      </c>
      <c r="E963">
        <v>174000</v>
      </c>
      <c r="F963">
        <v>174000</v>
      </c>
      <c r="G963" s="1">
        <v>2.75E-2</v>
      </c>
      <c r="H963" s="1">
        <v>2.75E-2</v>
      </c>
      <c r="I963" s="1">
        <v>2.75E-2</v>
      </c>
      <c r="J963" s="1">
        <v>0.43430000000000002</v>
      </c>
    </row>
    <row r="964" spans="1:10" x14ac:dyDescent="0.2">
      <c r="A964" t="str">
        <f>"20/10/2022"</f>
        <v>20/10/2022</v>
      </c>
      <c r="B964">
        <v>3</v>
      </c>
      <c r="C964">
        <v>177000</v>
      </c>
      <c r="D964">
        <v>382056</v>
      </c>
      <c r="E964">
        <v>177000</v>
      </c>
      <c r="F964">
        <v>177000</v>
      </c>
      <c r="G964" s="1">
        <v>2.75E-2</v>
      </c>
      <c r="H964" s="1">
        <v>2.75E-2</v>
      </c>
      <c r="I964" s="1">
        <v>2.75E-2</v>
      </c>
      <c r="J964" s="1">
        <v>0.4335</v>
      </c>
    </row>
    <row r="965" spans="1:10" x14ac:dyDescent="0.2">
      <c r="A965" t="str">
        <f>"19/10/2022"</f>
        <v>19/10/2022</v>
      </c>
      <c r="B965">
        <v>1</v>
      </c>
      <c r="C965">
        <v>179000</v>
      </c>
      <c r="D965">
        <v>389901</v>
      </c>
      <c r="E965">
        <v>179000</v>
      </c>
      <c r="F965">
        <v>179000</v>
      </c>
      <c r="G965" s="1">
        <v>2.75E-2</v>
      </c>
      <c r="H965" s="1">
        <v>2.75E-2</v>
      </c>
      <c r="I965" s="1">
        <v>2.75E-2</v>
      </c>
      <c r="J965" s="1">
        <v>0.41649999999999998</v>
      </c>
    </row>
    <row r="966" spans="1:10" x14ac:dyDescent="0.2">
      <c r="A966" t="str">
        <f>"18/10/2022"</f>
        <v>18/10/2022</v>
      </c>
      <c r="B966">
        <v>1</v>
      </c>
      <c r="C966">
        <v>182000</v>
      </c>
      <c r="D966">
        <v>390333</v>
      </c>
      <c r="E966">
        <v>182000</v>
      </c>
      <c r="F966">
        <v>182000</v>
      </c>
      <c r="G966" s="1">
        <v>2.75E-2</v>
      </c>
      <c r="H966" s="1">
        <v>2.75E-2</v>
      </c>
      <c r="I966" s="1">
        <v>2.75E-2</v>
      </c>
      <c r="J966" s="1">
        <v>0.42309999999999998</v>
      </c>
    </row>
    <row r="967" spans="1:10" x14ac:dyDescent="0.2">
      <c r="A967" t="str">
        <f>"13/10/2022"</f>
        <v>13/10/2022</v>
      </c>
      <c r="B967">
        <v>5</v>
      </c>
      <c r="C967">
        <v>184000</v>
      </c>
      <c r="D967">
        <v>382094</v>
      </c>
      <c r="E967">
        <v>184000</v>
      </c>
      <c r="F967">
        <v>184000</v>
      </c>
      <c r="G967" s="1">
        <v>2.75E-2</v>
      </c>
      <c r="H967" s="1">
        <v>2.75E-2</v>
      </c>
      <c r="I967" s="1">
        <v>2.75E-2</v>
      </c>
      <c r="J967" s="1">
        <v>0.44500000000000001</v>
      </c>
    </row>
    <row r="968" spans="1:10" x14ac:dyDescent="0.2">
      <c r="A968" t="str">
        <f>"12/10/2022"</f>
        <v>12/10/2022</v>
      </c>
      <c r="B968">
        <v>1</v>
      </c>
      <c r="C968">
        <v>186000</v>
      </c>
      <c r="D968">
        <v>390275</v>
      </c>
      <c r="E968">
        <v>186000</v>
      </c>
      <c r="F968">
        <v>186000</v>
      </c>
      <c r="G968" s="1">
        <v>2.75E-2</v>
      </c>
      <c r="H968" s="1">
        <v>2.75E-2</v>
      </c>
      <c r="I968" s="1">
        <v>2.75E-2</v>
      </c>
      <c r="J968" s="1">
        <v>0.42649999999999999</v>
      </c>
    </row>
    <row r="969" spans="1:10" x14ac:dyDescent="0.2">
      <c r="A969" t="str">
        <f>"11/10/2022"</f>
        <v>11/10/2022</v>
      </c>
      <c r="B969">
        <v>1</v>
      </c>
      <c r="C969">
        <v>185000</v>
      </c>
      <c r="D969">
        <v>375726</v>
      </c>
      <c r="E969">
        <v>185000</v>
      </c>
      <c r="F969">
        <v>185000</v>
      </c>
      <c r="G969" s="1">
        <v>2.75E-2</v>
      </c>
      <c r="H969" s="1">
        <v>2.75E-2</v>
      </c>
      <c r="I969" s="1">
        <v>2.75E-2</v>
      </c>
      <c r="J969" s="1">
        <v>0.43930000000000002</v>
      </c>
    </row>
    <row r="970" spans="1:10" x14ac:dyDescent="0.2">
      <c r="A970" t="str">
        <f>"06/10/2022"</f>
        <v>06/10/2022</v>
      </c>
      <c r="B970">
        <v>5</v>
      </c>
      <c r="C970">
        <v>188000</v>
      </c>
      <c r="D970">
        <v>385174</v>
      </c>
      <c r="E970">
        <v>188000</v>
      </c>
      <c r="F970">
        <v>188000</v>
      </c>
      <c r="G970" s="1">
        <v>0.02</v>
      </c>
      <c r="H970" s="1">
        <v>0.02</v>
      </c>
      <c r="I970" s="1">
        <v>0.02</v>
      </c>
      <c r="J970" s="1">
        <v>0.4481</v>
      </c>
    </row>
    <row r="971" spans="1:10" x14ac:dyDescent="0.2">
      <c r="A971" t="str">
        <f>"03/10/2022"</f>
        <v>03/10/2022</v>
      </c>
      <c r="B971">
        <v>3</v>
      </c>
      <c r="C971">
        <v>193000</v>
      </c>
      <c r="D971">
        <v>187031</v>
      </c>
      <c r="E971">
        <v>187031</v>
      </c>
      <c r="F971">
        <v>187031</v>
      </c>
      <c r="G971" s="1">
        <v>0.02</v>
      </c>
      <c r="H971" s="1">
        <v>0.02</v>
      </c>
      <c r="I971" s="1">
        <v>0.02</v>
      </c>
      <c r="J971" s="1">
        <v>1</v>
      </c>
    </row>
    <row r="972" spans="1:10" x14ac:dyDescent="0.2">
      <c r="A972" t="str">
        <f>"02/10/2022"</f>
        <v>02/10/2022</v>
      </c>
      <c r="B972">
        <v>1</v>
      </c>
      <c r="C972">
        <v>181000</v>
      </c>
      <c r="D972">
        <v>376178</v>
      </c>
      <c r="E972">
        <v>181000</v>
      </c>
      <c r="F972">
        <v>181000</v>
      </c>
      <c r="G972" s="1">
        <v>0.02</v>
      </c>
      <c r="H972" s="1">
        <v>0.02</v>
      </c>
      <c r="I972" s="1">
        <v>0.02</v>
      </c>
      <c r="J972" s="1">
        <v>0.43109999999999998</v>
      </c>
    </row>
    <row r="973" spans="1:10" x14ac:dyDescent="0.2">
      <c r="A973" t="str">
        <f>"29/09/2022"</f>
        <v>29/09/2022</v>
      </c>
      <c r="B973">
        <v>3</v>
      </c>
      <c r="C973">
        <v>170000</v>
      </c>
      <c r="D973">
        <v>319518</v>
      </c>
      <c r="E973">
        <v>170000</v>
      </c>
      <c r="F973">
        <v>170000</v>
      </c>
      <c r="G973" s="1">
        <v>0.02</v>
      </c>
      <c r="H973" s="1">
        <v>0.02</v>
      </c>
      <c r="I973" s="1">
        <v>0.02</v>
      </c>
      <c r="J973" s="1">
        <v>0.503</v>
      </c>
    </row>
    <row r="974" spans="1:10" x14ac:dyDescent="0.2">
      <c r="A974" t="str">
        <f>"28/09/2022"</f>
        <v>28/09/2022</v>
      </c>
      <c r="B974">
        <v>1</v>
      </c>
      <c r="C974">
        <v>159000</v>
      </c>
      <c r="D974">
        <v>293178</v>
      </c>
      <c r="E974">
        <v>159000</v>
      </c>
      <c r="F974">
        <v>159000</v>
      </c>
      <c r="G974" s="1">
        <v>0.02</v>
      </c>
      <c r="H974" s="1">
        <v>0.02</v>
      </c>
      <c r="I974" s="1">
        <v>0.02</v>
      </c>
      <c r="J974" s="1">
        <v>0.50570000000000004</v>
      </c>
    </row>
    <row r="975" spans="1:10" x14ac:dyDescent="0.2">
      <c r="A975" t="str">
        <f>"22/09/2022"</f>
        <v>22/09/2022</v>
      </c>
      <c r="B975">
        <v>6</v>
      </c>
      <c r="C975">
        <v>161000</v>
      </c>
      <c r="D975">
        <v>296254</v>
      </c>
      <c r="E975">
        <v>161000</v>
      </c>
      <c r="F975">
        <v>161000</v>
      </c>
      <c r="G975" s="1">
        <v>0.02</v>
      </c>
      <c r="H975" s="1">
        <v>0.02</v>
      </c>
      <c r="I975" s="1">
        <v>0.02</v>
      </c>
      <c r="J975" s="1">
        <v>0.51249999999999996</v>
      </c>
    </row>
    <row r="976" spans="1:10" x14ac:dyDescent="0.2">
      <c r="A976" t="str">
        <f>"21/09/2022"</f>
        <v>21/09/2022</v>
      </c>
      <c r="B976">
        <v>1</v>
      </c>
      <c r="C976">
        <v>164000</v>
      </c>
      <c r="D976">
        <v>307548</v>
      </c>
      <c r="E976">
        <v>164000</v>
      </c>
      <c r="F976">
        <v>164000</v>
      </c>
      <c r="G976" s="1">
        <v>0.02</v>
      </c>
      <c r="H976" s="1">
        <v>0.02</v>
      </c>
      <c r="I976" s="1">
        <v>0.02</v>
      </c>
      <c r="J976" s="1">
        <v>0.49619999999999997</v>
      </c>
    </row>
    <row r="977" spans="1:10" x14ac:dyDescent="0.2">
      <c r="A977" t="str">
        <f>"20/09/2022"</f>
        <v>20/09/2022</v>
      </c>
      <c r="B977">
        <v>1</v>
      </c>
      <c r="C977">
        <v>162000</v>
      </c>
      <c r="D977">
        <v>299448</v>
      </c>
      <c r="E977">
        <v>162000</v>
      </c>
      <c r="F977">
        <v>162000</v>
      </c>
      <c r="G977" s="1">
        <v>0.02</v>
      </c>
      <c r="H977" s="1">
        <v>0.02</v>
      </c>
      <c r="I977" s="1">
        <v>0.02</v>
      </c>
      <c r="J977" s="1">
        <v>0.50560000000000005</v>
      </c>
    </row>
    <row r="978" spans="1:10" x14ac:dyDescent="0.2">
      <c r="A978" t="str">
        <f>"19/09/2022"</f>
        <v>19/09/2022</v>
      </c>
      <c r="B978">
        <v>1</v>
      </c>
      <c r="C978">
        <v>164000</v>
      </c>
      <c r="D978">
        <v>316362</v>
      </c>
      <c r="E978">
        <v>164000</v>
      </c>
      <c r="F978">
        <v>164000</v>
      </c>
      <c r="G978" s="1">
        <v>0.02</v>
      </c>
      <c r="H978" s="1">
        <v>0.02</v>
      </c>
      <c r="I978" s="1">
        <v>0.02</v>
      </c>
      <c r="J978" s="1">
        <v>0.48080000000000001</v>
      </c>
    </row>
    <row r="979" spans="1:10" x14ac:dyDescent="0.2">
      <c r="A979" t="str">
        <f>"18/09/2022"</f>
        <v>18/09/2022</v>
      </c>
      <c r="B979">
        <v>1</v>
      </c>
      <c r="C979">
        <v>164000</v>
      </c>
      <c r="D979">
        <v>326213</v>
      </c>
      <c r="E979">
        <v>164000</v>
      </c>
      <c r="F979">
        <v>164000</v>
      </c>
      <c r="G979" s="1">
        <v>0.02</v>
      </c>
      <c r="H979" s="1">
        <v>0.02</v>
      </c>
      <c r="I979" s="1">
        <v>0.02</v>
      </c>
      <c r="J979" s="1">
        <v>0.46279999999999999</v>
      </c>
    </row>
    <row r="980" spans="1:10" x14ac:dyDescent="0.2">
      <c r="A980" t="str">
        <f>"15/09/2022"</f>
        <v>15/09/2022</v>
      </c>
      <c r="B980">
        <v>3</v>
      </c>
      <c r="C980">
        <v>172000</v>
      </c>
      <c r="D980">
        <v>347514</v>
      </c>
      <c r="E980">
        <v>172000</v>
      </c>
      <c r="F980">
        <v>172000</v>
      </c>
      <c r="G980" s="1">
        <v>0.02</v>
      </c>
      <c r="H980" s="1">
        <v>0.02</v>
      </c>
      <c r="I980" s="1">
        <v>0.02</v>
      </c>
      <c r="J980" s="1">
        <v>0.45850000000000002</v>
      </c>
    </row>
    <row r="981" spans="1:10" x14ac:dyDescent="0.2">
      <c r="A981" t="str">
        <f>"14/09/2022"</f>
        <v>14/09/2022</v>
      </c>
      <c r="B981">
        <v>1</v>
      </c>
      <c r="C981">
        <v>176000</v>
      </c>
      <c r="D981">
        <v>363614</v>
      </c>
      <c r="E981">
        <v>176000</v>
      </c>
      <c r="F981">
        <v>176000</v>
      </c>
      <c r="G981" s="1">
        <v>0.02</v>
      </c>
      <c r="H981" s="1">
        <v>0.02</v>
      </c>
      <c r="I981" s="1">
        <v>0.02</v>
      </c>
      <c r="J981" s="1">
        <v>0.45269999999999999</v>
      </c>
    </row>
    <row r="982" spans="1:10" x14ac:dyDescent="0.2">
      <c r="A982" t="str">
        <f>"13/09/2022"</f>
        <v>13/09/2022</v>
      </c>
      <c r="B982">
        <v>1</v>
      </c>
      <c r="C982">
        <v>175000</v>
      </c>
      <c r="D982">
        <v>369373</v>
      </c>
      <c r="E982">
        <v>175000</v>
      </c>
      <c r="F982">
        <v>175000</v>
      </c>
      <c r="G982" s="1">
        <v>0.02</v>
      </c>
      <c r="H982" s="1">
        <v>0.02</v>
      </c>
      <c r="I982" s="1">
        <v>0.02</v>
      </c>
      <c r="J982" s="1">
        <v>0.44259999999999999</v>
      </c>
    </row>
    <row r="983" spans="1:10" x14ac:dyDescent="0.2">
      <c r="A983" t="str">
        <f>"12/09/2022"</f>
        <v>12/09/2022</v>
      </c>
      <c r="B983">
        <v>1</v>
      </c>
      <c r="C983">
        <v>176000</v>
      </c>
      <c r="D983">
        <v>383398</v>
      </c>
      <c r="E983">
        <v>176000</v>
      </c>
      <c r="F983">
        <v>176000</v>
      </c>
      <c r="G983" s="1">
        <v>0.02</v>
      </c>
      <c r="H983" s="1">
        <v>0.02</v>
      </c>
      <c r="I983" s="1">
        <v>0.02</v>
      </c>
      <c r="J983" s="1">
        <v>0.4259</v>
      </c>
    </row>
    <row r="984" spans="1:10" x14ac:dyDescent="0.2">
      <c r="A984" t="str">
        <f>"11/09/2022"</f>
        <v>11/09/2022</v>
      </c>
      <c r="B984">
        <v>1</v>
      </c>
      <c r="C984">
        <v>176000</v>
      </c>
      <c r="D984">
        <v>387551</v>
      </c>
      <c r="E984">
        <v>176000</v>
      </c>
      <c r="F984">
        <v>176000</v>
      </c>
      <c r="G984" s="1">
        <v>0.02</v>
      </c>
      <c r="H984" s="1">
        <v>0.02</v>
      </c>
      <c r="I984" s="1">
        <v>0.02</v>
      </c>
      <c r="J984" s="1">
        <v>0.41959999999999997</v>
      </c>
    </row>
    <row r="985" spans="1:10" x14ac:dyDescent="0.2">
      <c r="A985" t="str">
        <f>"08/09/2022"</f>
        <v>08/09/2022</v>
      </c>
      <c r="B985">
        <v>3</v>
      </c>
      <c r="C985">
        <v>176000</v>
      </c>
      <c r="D985">
        <v>368390</v>
      </c>
      <c r="E985">
        <v>176000</v>
      </c>
      <c r="F985">
        <v>176000</v>
      </c>
      <c r="G985" s="1">
        <v>0.02</v>
      </c>
      <c r="H985" s="1">
        <v>0.02</v>
      </c>
      <c r="I985" s="1">
        <v>0.02</v>
      </c>
      <c r="J985" s="1">
        <v>0.44619999999999999</v>
      </c>
    </row>
    <row r="986" spans="1:10" x14ac:dyDescent="0.2">
      <c r="A986" t="str">
        <f>"07/09/2022"</f>
        <v>07/09/2022</v>
      </c>
      <c r="B986">
        <v>1</v>
      </c>
      <c r="C986">
        <v>176000</v>
      </c>
      <c r="D986">
        <v>405717</v>
      </c>
      <c r="E986">
        <v>176000</v>
      </c>
      <c r="F986">
        <v>176000</v>
      </c>
      <c r="G986" s="1">
        <v>0.02</v>
      </c>
      <c r="H986" s="1">
        <v>0.02</v>
      </c>
      <c r="I986" s="1">
        <v>0.02</v>
      </c>
      <c r="J986" s="1">
        <v>0.4027</v>
      </c>
    </row>
    <row r="987" spans="1:10" x14ac:dyDescent="0.2">
      <c r="A987" t="str">
        <f>"06/09/2022"</f>
        <v>06/09/2022</v>
      </c>
      <c r="B987">
        <v>1</v>
      </c>
      <c r="C987">
        <v>181000</v>
      </c>
      <c r="D987">
        <v>388697</v>
      </c>
      <c r="E987">
        <v>181000</v>
      </c>
      <c r="F987">
        <v>181000</v>
      </c>
      <c r="G987" s="1">
        <v>0.02</v>
      </c>
      <c r="H987" s="1">
        <v>0.02</v>
      </c>
      <c r="I987" s="1">
        <v>0.02</v>
      </c>
      <c r="J987" s="1">
        <v>0.43190000000000001</v>
      </c>
    </row>
    <row r="988" spans="1:10" x14ac:dyDescent="0.2">
      <c r="A988" t="str">
        <f>"05/09/2022"</f>
        <v>05/09/2022</v>
      </c>
      <c r="B988">
        <v>1</v>
      </c>
      <c r="C988">
        <v>180000</v>
      </c>
      <c r="D988">
        <v>369300</v>
      </c>
      <c r="E988">
        <v>180000</v>
      </c>
      <c r="F988">
        <v>180000</v>
      </c>
      <c r="G988" s="1">
        <v>0.02</v>
      </c>
      <c r="H988" s="1">
        <v>0.02</v>
      </c>
      <c r="I988" s="1">
        <v>0.02</v>
      </c>
      <c r="J988" s="1">
        <v>0.45219999999999999</v>
      </c>
    </row>
    <row r="989" spans="1:10" x14ac:dyDescent="0.2">
      <c r="A989" t="str">
        <f>"04/09/2022"</f>
        <v>04/09/2022</v>
      </c>
      <c r="B989">
        <v>1</v>
      </c>
      <c r="C989">
        <v>180000</v>
      </c>
      <c r="D989">
        <v>360272</v>
      </c>
      <c r="E989">
        <v>180000</v>
      </c>
      <c r="F989">
        <v>180000</v>
      </c>
      <c r="G989" s="1">
        <v>0.02</v>
      </c>
      <c r="H989" s="1">
        <v>0.02</v>
      </c>
      <c r="I989" s="1">
        <v>0.02</v>
      </c>
      <c r="J989" s="1">
        <v>0.46450000000000002</v>
      </c>
    </row>
    <row r="990" spans="1:10" x14ac:dyDescent="0.2">
      <c r="A990" t="str">
        <f>"01/09/2022"</f>
        <v>01/09/2022</v>
      </c>
      <c r="B990">
        <v>3</v>
      </c>
      <c r="C990">
        <v>182000</v>
      </c>
      <c r="D990">
        <v>345695</v>
      </c>
      <c r="E990">
        <v>182000</v>
      </c>
      <c r="F990">
        <v>182000</v>
      </c>
      <c r="G990" s="1">
        <v>0.02</v>
      </c>
      <c r="H990" s="1">
        <v>0.02</v>
      </c>
      <c r="I990" s="1">
        <v>0.02</v>
      </c>
      <c r="J990" s="1">
        <v>0.49469999999999997</v>
      </c>
    </row>
    <row r="991" spans="1:10" x14ac:dyDescent="0.2">
      <c r="A991" t="str">
        <f>"31/08/2022"</f>
        <v>31/08/2022</v>
      </c>
      <c r="B991">
        <v>1</v>
      </c>
      <c r="C991">
        <v>175000</v>
      </c>
      <c r="D991">
        <v>320800</v>
      </c>
      <c r="E991">
        <v>175000</v>
      </c>
      <c r="F991">
        <v>175000</v>
      </c>
      <c r="G991" s="1">
        <v>0.02</v>
      </c>
      <c r="H991" s="1">
        <v>0.02</v>
      </c>
      <c r="I991" s="1">
        <v>0.02</v>
      </c>
      <c r="J991" s="1">
        <v>0.51490000000000002</v>
      </c>
    </row>
    <row r="992" spans="1:10" x14ac:dyDescent="0.2">
      <c r="A992" t="str">
        <f>"30/08/2022"</f>
        <v>30/08/2022</v>
      </c>
      <c r="B992">
        <v>1</v>
      </c>
      <c r="C992">
        <v>173000</v>
      </c>
      <c r="D992">
        <v>324060</v>
      </c>
      <c r="E992">
        <v>173000</v>
      </c>
      <c r="F992">
        <v>173000</v>
      </c>
      <c r="G992" s="1">
        <v>0.02</v>
      </c>
      <c r="H992" s="1">
        <v>0.02</v>
      </c>
      <c r="I992" s="1">
        <v>0.02</v>
      </c>
      <c r="J992" s="1">
        <v>0.49959999999999999</v>
      </c>
    </row>
    <row r="993" spans="1:10" x14ac:dyDescent="0.2">
      <c r="A993" t="str">
        <f>"29/08/2022"</f>
        <v>29/08/2022</v>
      </c>
      <c r="B993">
        <v>1</v>
      </c>
      <c r="C993">
        <v>173000</v>
      </c>
      <c r="D993">
        <v>356463</v>
      </c>
      <c r="E993">
        <v>173000</v>
      </c>
      <c r="F993">
        <v>173000</v>
      </c>
      <c r="G993" s="1">
        <v>0.02</v>
      </c>
      <c r="H993" s="1">
        <v>0.02</v>
      </c>
      <c r="I993" s="1">
        <v>0.02</v>
      </c>
      <c r="J993" s="1">
        <v>0.45079999999999998</v>
      </c>
    </row>
    <row r="994" spans="1:10" x14ac:dyDescent="0.2">
      <c r="A994" t="str">
        <f>"28/08/2022"</f>
        <v>28/08/2022</v>
      </c>
      <c r="B994">
        <v>1</v>
      </c>
      <c r="C994">
        <v>170000</v>
      </c>
      <c r="D994">
        <v>372181</v>
      </c>
      <c r="E994">
        <v>170000</v>
      </c>
      <c r="F994">
        <v>170000</v>
      </c>
      <c r="G994" s="1">
        <v>0.02</v>
      </c>
      <c r="H994" s="1">
        <v>0.02</v>
      </c>
      <c r="I994" s="1">
        <v>0.02</v>
      </c>
      <c r="J994" s="1">
        <v>0.42499999999999999</v>
      </c>
    </row>
    <row r="995" spans="1:10" x14ac:dyDescent="0.2">
      <c r="A995" t="str">
        <f>"25/08/2022"</f>
        <v>25/08/2022</v>
      </c>
      <c r="B995">
        <v>3</v>
      </c>
      <c r="C995">
        <v>166000</v>
      </c>
      <c r="D995">
        <v>389505</v>
      </c>
      <c r="E995">
        <v>166000</v>
      </c>
      <c r="F995">
        <v>166000</v>
      </c>
      <c r="G995" s="1">
        <v>0.02</v>
      </c>
      <c r="H995" s="1">
        <v>0.02</v>
      </c>
      <c r="I995" s="1">
        <v>0.02</v>
      </c>
      <c r="J995" s="1">
        <v>0.39400000000000002</v>
      </c>
    </row>
    <row r="996" spans="1:10" x14ac:dyDescent="0.2">
      <c r="A996" t="str">
        <f>"24/08/2022"</f>
        <v>24/08/2022</v>
      </c>
      <c r="B996">
        <v>1</v>
      </c>
      <c r="C996">
        <v>171000</v>
      </c>
      <c r="D996">
        <v>161214</v>
      </c>
      <c r="E996">
        <v>161214</v>
      </c>
      <c r="F996">
        <v>161214</v>
      </c>
      <c r="G996" s="1">
        <v>1.2500000000000001E-2</v>
      </c>
      <c r="H996" s="1">
        <v>1.2500000000000001E-2</v>
      </c>
      <c r="I996" s="1">
        <v>1.2500000000000001E-2</v>
      </c>
      <c r="J996" s="1">
        <v>1</v>
      </c>
    </row>
    <row r="997" spans="1:10" x14ac:dyDescent="0.2">
      <c r="A997" t="str">
        <f>"23/08/2022"</f>
        <v>23/08/2022</v>
      </c>
      <c r="B997">
        <v>1</v>
      </c>
      <c r="C997">
        <v>166000</v>
      </c>
      <c r="D997">
        <v>331076</v>
      </c>
      <c r="E997">
        <v>166000</v>
      </c>
      <c r="F997">
        <v>166000</v>
      </c>
      <c r="G997" s="1">
        <v>1.2500000000000001E-2</v>
      </c>
      <c r="H997" s="1">
        <v>1.2500000000000001E-2</v>
      </c>
      <c r="I997" s="1">
        <v>1.2500000000000001E-2</v>
      </c>
      <c r="J997" s="1">
        <v>0.47139999999999999</v>
      </c>
    </row>
    <row r="998" spans="1:10" x14ac:dyDescent="0.2">
      <c r="A998" t="str">
        <f>"22/08/2022"</f>
        <v>22/08/2022</v>
      </c>
      <c r="B998">
        <v>1</v>
      </c>
      <c r="C998">
        <v>167000</v>
      </c>
      <c r="D998">
        <v>337309</v>
      </c>
      <c r="E998">
        <v>167000</v>
      </c>
      <c r="F998">
        <v>167000</v>
      </c>
      <c r="G998" s="1">
        <v>1.2500000000000001E-2</v>
      </c>
      <c r="H998" s="1">
        <v>1.2500000000000001E-2</v>
      </c>
      <c r="I998" s="1">
        <v>1.2500000000000001E-2</v>
      </c>
      <c r="J998" s="1">
        <v>0.46379999999999999</v>
      </c>
    </row>
    <row r="999" spans="1:10" x14ac:dyDescent="0.2">
      <c r="A999" t="str">
        <f>"21/08/2022"</f>
        <v>21/08/2022</v>
      </c>
      <c r="B999">
        <v>1</v>
      </c>
      <c r="C999">
        <v>168000</v>
      </c>
      <c r="D999">
        <v>332560</v>
      </c>
      <c r="E999">
        <v>168000</v>
      </c>
      <c r="F999">
        <v>168000</v>
      </c>
      <c r="G999" s="1">
        <v>1.2500000000000001E-2</v>
      </c>
      <c r="H999" s="1">
        <v>1.2500000000000001E-2</v>
      </c>
      <c r="I999" s="1">
        <v>1.2500000000000001E-2</v>
      </c>
      <c r="J999" s="1">
        <v>0.47220000000000001</v>
      </c>
    </row>
    <row r="1000" spans="1:10" x14ac:dyDescent="0.2">
      <c r="A1000" t="str">
        <f>"18/08/2022"</f>
        <v>18/08/2022</v>
      </c>
      <c r="B1000">
        <v>3</v>
      </c>
      <c r="C1000">
        <v>168000</v>
      </c>
      <c r="D1000">
        <v>320620</v>
      </c>
      <c r="E1000">
        <v>168000</v>
      </c>
      <c r="F1000">
        <v>168000</v>
      </c>
      <c r="G1000" s="1">
        <v>1.2500000000000001E-2</v>
      </c>
      <c r="H1000" s="1">
        <v>1.2500000000000001E-2</v>
      </c>
      <c r="I1000" s="1">
        <v>1.2500000000000001E-2</v>
      </c>
      <c r="J1000" s="1">
        <v>0.49419999999999997</v>
      </c>
    </row>
    <row r="1001" spans="1:10" x14ac:dyDescent="0.2">
      <c r="A1001" t="str">
        <f>"17/08/2022"</f>
        <v>17/08/2022</v>
      </c>
      <c r="B1001">
        <v>1</v>
      </c>
      <c r="C1001">
        <v>169000</v>
      </c>
      <c r="D1001">
        <v>317483</v>
      </c>
      <c r="E1001">
        <v>169000</v>
      </c>
      <c r="F1001">
        <v>169000</v>
      </c>
      <c r="G1001" s="1">
        <v>1.2500000000000001E-2</v>
      </c>
      <c r="H1001" s="1">
        <v>1.2500000000000001E-2</v>
      </c>
      <c r="I1001" s="1">
        <v>1.2500000000000001E-2</v>
      </c>
      <c r="J1001" s="1">
        <v>0.49669999999999997</v>
      </c>
    </row>
    <row r="1002" spans="1:10" x14ac:dyDescent="0.2">
      <c r="A1002" t="str">
        <f>"16/08/2022"</f>
        <v>16/08/2022</v>
      </c>
      <c r="B1002">
        <v>1</v>
      </c>
      <c r="C1002">
        <v>173000</v>
      </c>
      <c r="D1002">
        <v>333777</v>
      </c>
      <c r="E1002">
        <v>173000</v>
      </c>
      <c r="F1002">
        <v>173000</v>
      </c>
      <c r="G1002" s="1">
        <v>1.2500000000000001E-2</v>
      </c>
      <c r="H1002" s="1">
        <v>1.2500000000000001E-2</v>
      </c>
      <c r="I1002" s="1">
        <v>1.2500000000000001E-2</v>
      </c>
      <c r="J1002" s="1">
        <v>0.48749999999999999</v>
      </c>
    </row>
    <row r="1003" spans="1:10" x14ac:dyDescent="0.2">
      <c r="A1003" t="str">
        <f>"15/08/2022"</f>
        <v>15/08/2022</v>
      </c>
      <c r="B1003">
        <v>1</v>
      </c>
      <c r="C1003">
        <v>181000</v>
      </c>
      <c r="D1003">
        <v>360264</v>
      </c>
      <c r="E1003">
        <v>181000</v>
      </c>
      <c r="F1003">
        <v>181000</v>
      </c>
      <c r="G1003" s="1">
        <v>1.2500000000000001E-2</v>
      </c>
      <c r="H1003" s="1">
        <v>1.2500000000000001E-2</v>
      </c>
      <c r="I1003" s="1">
        <v>1.2500000000000001E-2</v>
      </c>
      <c r="J1003" s="1">
        <v>0.47260000000000002</v>
      </c>
    </row>
    <row r="1004" spans="1:10" x14ac:dyDescent="0.2">
      <c r="A1004" t="str">
        <f>"14/08/2022"</f>
        <v>14/08/2022</v>
      </c>
      <c r="B1004">
        <v>1</v>
      </c>
      <c r="C1004">
        <v>179000</v>
      </c>
      <c r="D1004">
        <v>363308</v>
      </c>
      <c r="E1004">
        <v>179000</v>
      </c>
      <c r="F1004">
        <v>179000</v>
      </c>
      <c r="G1004" s="1">
        <v>1.2500000000000001E-2</v>
      </c>
      <c r="H1004" s="1">
        <v>1.2500000000000001E-2</v>
      </c>
      <c r="I1004" s="1">
        <v>1.2500000000000001E-2</v>
      </c>
      <c r="J1004" s="1">
        <v>0.46010000000000001</v>
      </c>
    </row>
    <row r="1005" spans="1:10" x14ac:dyDescent="0.2">
      <c r="A1005" t="str">
        <f>"11/08/2022"</f>
        <v>11/08/2022</v>
      </c>
      <c r="B1005">
        <v>3</v>
      </c>
      <c r="C1005">
        <v>180000</v>
      </c>
      <c r="D1005">
        <v>409030</v>
      </c>
      <c r="E1005">
        <v>180000</v>
      </c>
      <c r="F1005">
        <v>180000</v>
      </c>
      <c r="G1005" s="1">
        <v>1.2500000000000001E-2</v>
      </c>
      <c r="H1005" s="1">
        <v>1.2500000000000001E-2</v>
      </c>
      <c r="I1005" s="1">
        <v>1.2500000000000001E-2</v>
      </c>
      <c r="J1005" s="1">
        <v>0.40899999999999997</v>
      </c>
    </row>
    <row r="1006" spans="1:10" x14ac:dyDescent="0.2">
      <c r="A1006" t="str">
        <f>"10/08/2022"</f>
        <v>10/08/2022</v>
      </c>
      <c r="B1006">
        <v>1</v>
      </c>
      <c r="C1006">
        <v>180000</v>
      </c>
      <c r="D1006">
        <v>455131</v>
      </c>
      <c r="E1006">
        <v>180000</v>
      </c>
      <c r="F1006">
        <v>180000</v>
      </c>
      <c r="G1006" s="1">
        <v>1.2500000000000001E-2</v>
      </c>
      <c r="H1006" s="1">
        <v>1.2500000000000001E-2</v>
      </c>
      <c r="I1006" s="1">
        <v>1.2500000000000001E-2</v>
      </c>
      <c r="J1006" s="1">
        <v>0.36509999999999998</v>
      </c>
    </row>
    <row r="1007" spans="1:10" x14ac:dyDescent="0.2">
      <c r="A1007" t="str">
        <f>"09/08/2022"</f>
        <v>09/08/2022</v>
      </c>
      <c r="B1007">
        <v>1</v>
      </c>
      <c r="C1007">
        <v>179000</v>
      </c>
      <c r="D1007">
        <v>436664</v>
      </c>
      <c r="E1007">
        <v>179000</v>
      </c>
      <c r="F1007">
        <v>179000</v>
      </c>
      <c r="G1007" s="1">
        <v>1.2500000000000001E-2</v>
      </c>
      <c r="H1007" s="1">
        <v>1.2500000000000001E-2</v>
      </c>
      <c r="I1007" s="1">
        <v>1.2500000000000001E-2</v>
      </c>
      <c r="J1007" s="1">
        <v>0.37819999999999998</v>
      </c>
    </row>
    <row r="1008" spans="1:10" x14ac:dyDescent="0.2">
      <c r="A1008" t="str">
        <f>"08/08/2022"</f>
        <v>08/08/2022</v>
      </c>
      <c r="B1008">
        <v>1</v>
      </c>
      <c r="C1008">
        <v>181000</v>
      </c>
      <c r="D1008">
        <v>419163</v>
      </c>
      <c r="E1008">
        <v>181000</v>
      </c>
      <c r="F1008">
        <v>181000</v>
      </c>
      <c r="G1008" s="1">
        <v>1.2500000000000001E-2</v>
      </c>
      <c r="H1008" s="1">
        <v>1.2500000000000001E-2</v>
      </c>
      <c r="I1008" s="1">
        <v>1.2500000000000001E-2</v>
      </c>
      <c r="J1008" s="1">
        <v>0.40010000000000001</v>
      </c>
    </row>
    <row r="1009" spans="1:10" x14ac:dyDescent="0.2">
      <c r="A1009" t="str">
        <f>"04/08/2022"</f>
        <v>04/08/2022</v>
      </c>
      <c r="B1009">
        <v>4</v>
      </c>
      <c r="C1009">
        <v>182000</v>
      </c>
      <c r="D1009">
        <v>404837</v>
      </c>
      <c r="E1009">
        <v>182000</v>
      </c>
      <c r="F1009">
        <v>182000</v>
      </c>
      <c r="G1009" s="1">
        <v>1.2500000000000001E-2</v>
      </c>
      <c r="H1009" s="1">
        <v>1.2500000000000001E-2</v>
      </c>
      <c r="I1009" s="1">
        <v>1.2500000000000001E-2</v>
      </c>
      <c r="J1009" s="1">
        <v>0.41299999999999998</v>
      </c>
    </row>
    <row r="1010" spans="1:10" x14ac:dyDescent="0.2">
      <c r="A1010" t="str">
        <f>"03/08/2022"</f>
        <v>03/08/2022</v>
      </c>
      <c r="B1010">
        <v>1</v>
      </c>
      <c r="C1010">
        <v>181000</v>
      </c>
      <c r="D1010">
        <v>399726</v>
      </c>
      <c r="E1010">
        <v>181000</v>
      </c>
      <c r="F1010">
        <v>181000</v>
      </c>
      <c r="G1010" s="1">
        <v>1.2500000000000001E-2</v>
      </c>
      <c r="H1010" s="1">
        <v>1.2500000000000001E-2</v>
      </c>
      <c r="I1010" s="1">
        <v>1.2500000000000001E-2</v>
      </c>
      <c r="J1010" s="1">
        <v>0.40810000000000002</v>
      </c>
    </row>
    <row r="1011" spans="1:10" x14ac:dyDescent="0.2">
      <c r="A1011" t="str">
        <f>"02/08/2022"</f>
        <v>02/08/2022</v>
      </c>
      <c r="B1011">
        <v>1</v>
      </c>
      <c r="C1011">
        <v>184000</v>
      </c>
      <c r="D1011">
        <v>425990</v>
      </c>
      <c r="E1011">
        <v>184000</v>
      </c>
      <c r="F1011">
        <v>184000</v>
      </c>
      <c r="G1011" s="1">
        <v>1.2500000000000001E-2</v>
      </c>
      <c r="H1011" s="1">
        <v>1.2500000000000001E-2</v>
      </c>
      <c r="I1011" s="1">
        <v>1.2500000000000001E-2</v>
      </c>
      <c r="J1011" s="1">
        <v>0.3871</v>
      </c>
    </row>
    <row r="1012" spans="1:10" x14ac:dyDescent="0.2">
      <c r="A1012" t="str">
        <f>"01/08/2022"</f>
        <v>01/08/2022</v>
      </c>
      <c r="B1012">
        <v>1</v>
      </c>
      <c r="C1012">
        <v>185000</v>
      </c>
      <c r="D1012">
        <v>434642</v>
      </c>
      <c r="E1012">
        <v>185000</v>
      </c>
      <c r="F1012">
        <v>185000</v>
      </c>
      <c r="G1012" s="1">
        <v>1.2500000000000001E-2</v>
      </c>
      <c r="H1012" s="1">
        <v>1.2500000000000001E-2</v>
      </c>
      <c r="I1012" s="1">
        <v>1.2500000000000001E-2</v>
      </c>
      <c r="J1012" s="1">
        <v>0.39319999999999999</v>
      </c>
    </row>
    <row r="1013" spans="1:10" x14ac:dyDescent="0.2">
      <c r="A1013" t="str">
        <f>"31/07/2022"</f>
        <v>31/07/2022</v>
      </c>
      <c r="B1013">
        <v>1</v>
      </c>
      <c r="C1013">
        <v>177000</v>
      </c>
      <c r="D1013">
        <v>432906</v>
      </c>
      <c r="E1013">
        <v>177000</v>
      </c>
      <c r="F1013">
        <v>177000</v>
      </c>
      <c r="G1013" s="1">
        <v>1.2500000000000001E-2</v>
      </c>
      <c r="H1013" s="1">
        <v>1.2500000000000001E-2</v>
      </c>
      <c r="I1013" s="1">
        <v>1.2500000000000001E-2</v>
      </c>
      <c r="J1013" s="1">
        <v>0.38080000000000003</v>
      </c>
    </row>
    <row r="1014" spans="1:10" x14ac:dyDescent="0.2">
      <c r="A1014" t="str">
        <f>"28/07/2022"</f>
        <v>28/07/2022</v>
      </c>
      <c r="B1014">
        <v>3</v>
      </c>
      <c r="C1014">
        <v>160000</v>
      </c>
      <c r="D1014">
        <v>382985</v>
      </c>
      <c r="E1014">
        <v>160000</v>
      </c>
      <c r="F1014">
        <v>160000</v>
      </c>
      <c r="G1014" s="1">
        <v>1.2500000000000001E-2</v>
      </c>
      <c r="H1014" s="1">
        <v>1.2500000000000001E-2</v>
      </c>
      <c r="I1014" s="1">
        <v>1.2500000000000001E-2</v>
      </c>
      <c r="J1014" s="1">
        <v>0.38729999999999998</v>
      </c>
    </row>
    <row r="1015" spans="1:10" x14ac:dyDescent="0.2">
      <c r="A1015" t="str">
        <f>"27/07/2022"</f>
        <v>27/07/2022</v>
      </c>
      <c r="B1015">
        <v>1</v>
      </c>
      <c r="C1015">
        <v>153000</v>
      </c>
      <c r="D1015">
        <v>374635</v>
      </c>
      <c r="E1015">
        <v>153000</v>
      </c>
      <c r="F1015">
        <v>153000</v>
      </c>
      <c r="G1015" s="1">
        <v>1.2500000000000001E-2</v>
      </c>
      <c r="H1015" s="1">
        <v>1.2500000000000001E-2</v>
      </c>
      <c r="I1015" s="1">
        <v>1.2500000000000001E-2</v>
      </c>
      <c r="J1015" s="1">
        <v>0.37459999999999999</v>
      </c>
    </row>
    <row r="1016" spans="1:10" x14ac:dyDescent="0.2">
      <c r="A1016" t="str">
        <f>"26/07/2022"</f>
        <v>26/07/2022</v>
      </c>
      <c r="B1016">
        <v>1</v>
      </c>
      <c r="C1016">
        <v>155000</v>
      </c>
      <c r="D1016">
        <v>374336</v>
      </c>
      <c r="E1016">
        <v>155000</v>
      </c>
      <c r="F1016">
        <v>155000</v>
      </c>
      <c r="G1016" s="1">
        <v>1.2500000000000001E-2</v>
      </c>
      <c r="H1016" s="1">
        <v>1.2500000000000001E-2</v>
      </c>
      <c r="I1016" s="1">
        <v>1.2500000000000001E-2</v>
      </c>
      <c r="J1016" s="1">
        <v>0.3821</v>
      </c>
    </row>
    <row r="1017" spans="1:10" x14ac:dyDescent="0.2">
      <c r="A1017" t="str">
        <f>"25/07/2022"</f>
        <v>25/07/2022</v>
      </c>
      <c r="B1017">
        <v>1</v>
      </c>
      <c r="C1017">
        <v>157000</v>
      </c>
      <c r="D1017">
        <v>387399</v>
      </c>
      <c r="E1017">
        <v>157000</v>
      </c>
      <c r="F1017">
        <v>157000</v>
      </c>
      <c r="G1017" s="1">
        <v>1.2500000000000001E-2</v>
      </c>
      <c r="H1017" s="1">
        <v>1.2500000000000001E-2</v>
      </c>
      <c r="I1017" s="1">
        <v>1.2500000000000001E-2</v>
      </c>
      <c r="J1017" s="1">
        <v>0.3735</v>
      </c>
    </row>
    <row r="1018" spans="1:10" x14ac:dyDescent="0.2">
      <c r="A1018" t="str">
        <f>"24/07/2022"</f>
        <v>24/07/2022</v>
      </c>
      <c r="B1018">
        <v>1</v>
      </c>
      <c r="C1018">
        <v>157000</v>
      </c>
      <c r="D1018">
        <v>390126</v>
      </c>
      <c r="E1018">
        <v>157000</v>
      </c>
      <c r="F1018">
        <v>157000</v>
      </c>
      <c r="G1018" s="1">
        <v>1.2500000000000001E-2</v>
      </c>
      <c r="H1018" s="1">
        <v>1.2500000000000001E-2</v>
      </c>
      <c r="I1018" s="1">
        <v>1.2500000000000001E-2</v>
      </c>
      <c r="J1018" s="1">
        <v>0.37040000000000001</v>
      </c>
    </row>
    <row r="1019" spans="1:10" x14ac:dyDescent="0.2">
      <c r="A1019" t="str">
        <f>"21/07/2022"</f>
        <v>21/07/2022</v>
      </c>
      <c r="B1019">
        <v>3</v>
      </c>
      <c r="C1019">
        <v>161000</v>
      </c>
      <c r="D1019">
        <v>397944</v>
      </c>
      <c r="E1019">
        <v>161000</v>
      </c>
      <c r="F1019">
        <v>161000</v>
      </c>
      <c r="G1019" s="1">
        <v>1.2500000000000001E-2</v>
      </c>
      <c r="H1019" s="1">
        <v>1.2500000000000001E-2</v>
      </c>
      <c r="I1019" s="1">
        <v>1.2500000000000001E-2</v>
      </c>
      <c r="J1019" s="1">
        <v>0.37730000000000002</v>
      </c>
    </row>
    <row r="1020" spans="1:10" x14ac:dyDescent="0.2">
      <c r="A1020" t="str">
        <f>"20/07/2022"</f>
        <v>20/07/2022</v>
      </c>
      <c r="B1020">
        <v>1</v>
      </c>
      <c r="C1020">
        <v>156000</v>
      </c>
      <c r="D1020">
        <v>386602</v>
      </c>
      <c r="E1020">
        <v>156000</v>
      </c>
      <c r="F1020">
        <v>156000</v>
      </c>
      <c r="G1020" s="1">
        <v>1.2500000000000001E-2</v>
      </c>
      <c r="H1020" s="1">
        <v>1.2500000000000001E-2</v>
      </c>
      <c r="I1020" s="1">
        <v>1.2500000000000001E-2</v>
      </c>
      <c r="J1020" s="1">
        <v>0.373</v>
      </c>
    </row>
    <row r="1021" spans="1:10" x14ac:dyDescent="0.2">
      <c r="A1021" t="str">
        <f>"19/07/2022"</f>
        <v>19/07/2022</v>
      </c>
      <c r="B1021">
        <v>1</v>
      </c>
      <c r="C1021">
        <v>156000</v>
      </c>
      <c r="D1021">
        <v>393188</v>
      </c>
      <c r="E1021">
        <v>156000</v>
      </c>
      <c r="F1021">
        <v>156000</v>
      </c>
      <c r="G1021" s="1">
        <v>1.2500000000000001E-2</v>
      </c>
      <c r="H1021" s="1">
        <v>1.2500000000000001E-2</v>
      </c>
      <c r="I1021" s="1">
        <v>1.2500000000000001E-2</v>
      </c>
      <c r="J1021" s="1">
        <v>0.36509999999999998</v>
      </c>
    </row>
    <row r="1022" spans="1:10" x14ac:dyDescent="0.2">
      <c r="A1022" t="str">
        <f>"18/07/2022"</f>
        <v>18/07/2022</v>
      </c>
      <c r="B1022">
        <v>1</v>
      </c>
      <c r="C1022">
        <v>157000</v>
      </c>
      <c r="D1022">
        <v>399494</v>
      </c>
      <c r="E1022">
        <v>157000</v>
      </c>
      <c r="F1022">
        <v>157000</v>
      </c>
      <c r="G1022" s="1">
        <v>1.2500000000000001E-2</v>
      </c>
      <c r="H1022" s="1">
        <v>1.2500000000000001E-2</v>
      </c>
      <c r="I1022" s="1">
        <v>1.2500000000000001E-2</v>
      </c>
      <c r="J1022" s="1">
        <v>0.3609</v>
      </c>
    </row>
    <row r="1023" spans="1:10" x14ac:dyDescent="0.2">
      <c r="A1023" t="str">
        <f>"17/07/2022"</f>
        <v>17/07/2022</v>
      </c>
      <c r="B1023">
        <v>1</v>
      </c>
      <c r="C1023">
        <v>160000</v>
      </c>
      <c r="D1023">
        <v>409637</v>
      </c>
      <c r="E1023">
        <v>160000</v>
      </c>
      <c r="F1023">
        <v>160000</v>
      </c>
      <c r="G1023" s="1">
        <v>1.2500000000000001E-2</v>
      </c>
      <c r="H1023" s="1">
        <v>1.2500000000000001E-2</v>
      </c>
      <c r="I1023" s="1">
        <v>1.2500000000000001E-2</v>
      </c>
      <c r="J1023" s="1">
        <v>0.35909999999999997</v>
      </c>
    </row>
    <row r="1024" spans="1:10" x14ac:dyDescent="0.2">
      <c r="A1024" t="str">
        <f>"14/07/2022"</f>
        <v>14/07/2022</v>
      </c>
      <c r="B1024">
        <v>3</v>
      </c>
      <c r="C1024">
        <v>164000</v>
      </c>
      <c r="D1024">
        <v>414460</v>
      </c>
      <c r="E1024">
        <v>164000</v>
      </c>
      <c r="F1024">
        <v>164000</v>
      </c>
      <c r="G1024" s="1">
        <v>1.2500000000000001E-2</v>
      </c>
      <c r="H1024" s="1">
        <v>1.2500000000000001E-2</v>
      </c>
      <c r="I1024" s="1">
        <v>1.2500000000000001E-2</v>
      </c>
      <c r="J1024" s="1">
        <v>0.36959999999999998</v>
      </c>
    </row>
    <row r="1025" spans="1:10" x14ac:dyDescent="0.2">
      <c r="A1025" t="str">
        <f>"13/07/2022"</f>
        <v>13/07/2022</v>
      </c>
      <c r="B1025">
        <v>1</v>
      </c>
      <c r="C1025">
        <v>166000</v>
      </c>
      <c r="D1025">
        <v>438373</v>
      </c>
      <c r="E1025">
        <v>166000</v>
      </c>
      <c r="F1025">
        <v>166000</v>
      </c>
      <c r="G1025" s="1">
        <v>1.2500000000000001E-2</v>
      </c>
      <c r="H1025" s="1">
        <v>1.2500000000000001E-2</v>
      </c>
      <c r="I1025" s="1">
        <v>1.2500000000000001E-2</v>
      </c>
      <c r="J1025" s="1">
        <v>0.35139999999999999</v>
      </c>
    </row>
    <row r="1026" spans="1:10" x14ac:dyDescent="0.2">
      <c r="A1026" t="str">
        <f>"12/07/2022"</f>
        <v>12/07/2022</v>
      </c>
      <c r="B1026">
        <v>1</v>
      </c>
      <c r="C1026">
        <v>166000</v>
      </c>
      <c r="D1026">
        <v>433430</v>
      </c>
      <c r="E1026">
        <v>166000</v>
      </c>
      <c r="F1026">
        <v>166000</v>
      </c>
      <c r="G1026" s="1">
        <v>1.2500000000000001E-2</v>
      </c>
      <c r="H1026" s="1">
        <v>1.2500000000000001E-2</v>
      </c>
      <c r="I1026" s="1">
        <v>1.2500000000000001E-2</v>
      </c>
      <c r="J1026" s="1">
        <v>0.35549999999999998</v>
      </c>
    </row>
    <row r="1027" spans="1:10" x14ac:dyDescent="0.2">
      <c r="A1027" t="str">
        <f>"11/07/2022"</f>
        <v>11/07/2022</v>
      </c>
      <c r="B1027">
        <v>1</v>
      </c>
      <c r="C1027">
        <v>166000</v>
      </c>
      <c r="D1027">
        <v>437840</v>
      </c>
      <c r="E1027">
        <v>166000</v>
      </c>
      <c r="F1027">
        <v>166000</v>
      </c>
      <c r="G1027" s="1">
        <v>1.2500000000000001E-2</v>
      </c>
      <c r="H1027" s="1">
        <v>1.2500000000000001E-2</v>
      </c>
      <c r="I1027" s="1">
        <v>1.2500000000000001E-2</v>
      </c>
      <c r="J1027" s="1">
        <v>0.34970000000000001</v>
      </c>
    </row>
    <row r="1028" spans="1:10" x14ac:dyDescent="0.2">
      <c r="A1028" t="str">
        <f>"10/07/2022"</f>
        <v>10/07/2022</v>
      </c>
      <c r="B1028">
        <v>1</v>
      </c>
      <c r="C1028">
        <v>166000</v>
      </c>
      <c r="D1028">
        <v>423569</v>
      </c>
      <c r="E1028">
        <v>166000</v>
      </c>
      <c r="F1028">
        <v>166000</v>
      </c>
      <c r="G1028" s="1">
        <v>1.2500000000000001E-2</v>
      </c>
      <c r="H1028" s="1">
        <v>1.2500000000000001E-2</v>
      </c>
      <c r="I1028" s="1">
        <v>1.2500000000000001E-2</v>
      </c>
      <c r="J1028" s="1">
        <v>0.34860000000000002</v>
      </c>
    </row>
    <row r="1029" spans="1:10" x14ac:dyDescent="0.2">
      <c r="A1029" t="str">
        <f>"07/07/2022"</f>
        <v>07/07/2022</v>
      </c>
      <c r="B1029">
        <v>3</v>
      </c>
      <c r="C1029">
        <v>169000</v>
      </c>
      <c r="D1029">
        <v>417650</v>
      </c>
      <c r="E1029">
        <v>169000</v>
      </c>
      <c r="F1029">
        <v>169000</v>
      </c>
      <c r="G1029" s="1">
        <v>1.2500000000000001E-2</v>
      </c>
      <c r="H1029" s="1">
        <v>1.2500000000000001E-2</v>
      </c>
      <c r="I1029" s="1">
        <v>1.2500000000000001E-2</v>
      </c>
      <c r="J1029" s="1">
        <v>0.37509999999999999</v>
      </c>
    </row>
    <row r="1030" spans="1:10" x14ac:dyDescent="0.2">
      <c r="A1030" t="str">
        <f>"06/07/2022"</f>
        <v>06/07/2022</v>
      </c>
      <c r="B1030">
        <v>1</v>
      </c>
      <c r="C1030">
        <v>171000</v>
      </c>
      <c r="D1030">
        <v>164266</v>
      </c>
      <c r="E1030">
        <v>164266</v>
      </c>
      <c r="F1030">
        <v>164266</v>
      </c>
      <c r="G1030" s="1">
        <v>7.4999999999999997E-3</v>
      </c>
      <c r="H1030" s="1">
        <v>7.4999999999999997E-3</v>
      </c>
      <c r="I1030" s="1">
        <v>7.4999999999999997E-3</v>
      </c>
      <c r="J1030" s="1">
        <v>1</v>
      </c>
    </row>
    <row r="1031" spans="1:10" x14ac:dyDescent="0.2">
      <c r="A1031" t="str">
        <f>"05/07/2022"</f>
        <v>05/07/2022</v>
      </c>
      <c r="B1031">
        <v>1</v>
      </c>
      <c r="C1031">
        <v>166000</v>
      </c>
      <c r="D1031">
        <v>425973</v>
      </c>
      <c r="E1031">
        <v>166000</v>
      </c>
      <c r="F1031">
        <v>166000</v>
      </c>
      <c r="G1031" s="1">
        <v>7.4999999999999997E-3</v>
      </c>
      <c r="H1031" s="1">
        <v>7.4999999999999997E-3</v>
      </c>
      <c r="I1031" s="1">
        <v>7.4999999999999997E-3</v>
      </c>
      <c r="J1031" s="1">
        <v>0.35020000000000001</v>
      </c>
    </row>
    <row r="1032" spans="1:10" x14ac:dyDescent="0.2">
      <c r="A1032" t="str">
        <f>"04/07/2022"</f>
        <v>04/07/2022</v>
      </c>
      <c r="B1032">
        <v>1</v>
      </c>
      <c r="C1032">
        <v>166000</v>
      </c>
      <c r="D1032">
        <v>455336</v>
      </c>
      <c r="E1032">
        <v>166000</v>
      </c>
      <c r="F1032">
        <v>166000</v>
      </c>
      <c r="G1032" s="1">
        <v>7.4999999999999997E-3</v>
      </c>
      <c r="H1032" s="1">
        <v>7.4999999999999997E-3</v>
      </c>
      <c r="I1032" s="1">
        <v>7.4999999999999997E-3</v>
      </c>
      <c r="J1032" s="1">
        <v>0.33810000000000001</v>
      </c>
    </row>
    <row r="1033" spans="1:10" x14ac:dyDescent="0.2">
      <c r="A1033" t="str">
        <f>"03/07/2022"</f>
        <v>03/07/2022</v>
      </c>
      <c r="B1033">
        <v>1</v>
      </c>
      <c r="C1033">
        <v>167000</v>
      </c>
      <c r="D1033">
        <v>435295</v>
      </c>
      <c r="E1033">
        <v>167000</v>
      </c>
      <c r="F1033">
        <v>167000</v>
      </c>
      <c r="G1033" s="1">
        <v>7.4999999999999997E-3</v>
      </c>
      <c r="H1033" s="1">
        <v>7.4999999999999997E-3</v>
      </c>
      <c r="I1033" s="1">
        <v>7.4999999999999997E-3</v>
      </c>
      <c r="J1033" s="1">
        <v>0.3553</v>
      </c>
    </row>
    <row r="1034" spans="1:10" x14ac:dyDescent="0.2">
      <c r="A1034" t="str">
        <f>"30/06/2022"</f>
        <v>30/06/2022</v>
      </c>
      <c r="B1034">
        <v>3</v>
      </c>
      <c r="C1034">
        <v>164000</v>
      </c>
      <c r="D1034">
        <v>395582</v>
      </c>
      <c r="E1034">
        <v>164000</v>
      </c>
      <c r="F1034">
        <v>164000</v>
      </c>
      <c r="G1034" s="1">
        <v>7.4999999999999997E-3</v>
      </c>
      <c r="H1034" s="1">
        <v>7.4999999999999997E-3</v>
      </c>
      <c r="I1034" s="1">
        <v>7.4999999999999997E-3</v>
      </c>
      <c r="J1034" s="1">
        <v>0.39169999999999999</v>
      </c>
    </row>
    <row r="1035" spans="1:10" x14ac:dyDescent="0.2">
      <c r="A1035" t="str">
        <f>"29/06/2022"</f>
        <v>29/06/2022</v>
      </c>
      <c r="B1035">
        <v>1</v>
      </c>
      <c r="C1035">
        <v>147000</v>
      </c>
      <c r="D1035">
        <v>352365</v>
      </c>
      <c r="E1035">
        <v>147000</v>
      </c>
      <c r="F1035">
        <v>147000</v>
      </c>
      <c r="G1035" s="1">
        <v>7.4999999999999997E-3</v>
      </c>
      <c r="H1035" s="1">
        <v>7.4999999999999997E-3</v>
      </c>
      <c r="I1035" s="1">
        <v>7.4999999999999997E-3</v>
      </c>
      <c r="J1035" s="1">
        <v>0.38629999999999998</v>
      </c>
    </row>
    <row r="1036" spans="1:10" x14ac:dyDescent="0.2">
      <c r="A1036" t="str">
        <f>"28/06/2022"</f>
        <v>28/06/2022</v>
      </c>
      <c r="B1036">
        <v>1</v>
      </c>
      <c r="C1036">
        <v>147000</v>
      </c>
      <c r="D1036">
        <v>353560</v>
      </c>
      <c r="E1036">
        <v>147000</v>
      </c>
      <c r="F1036">
        <v>147000</v>
      </c>
      <c r="G1036" s="1">
        <v>7.4999999999999997E-3</v>
      </c>
      <c r="H1036" s="1">
        <v>7.4999999999999997E-3</v>
      </c>
      <c r="I1036" s="1">
        <v>7.4999999999999997E-3</v>
      </c>
      <c r="J1036" s="1">
        <v>0.38719999999999999</v>
      </c>
    </row>
    <row r="1037" spans="1:10" x14ac:dyDescent="0.2">
      <c r="A1037" t="str">
        <f>"27/06/2022"</f>
        <v>27/06/2022</v>
      </c>
      <c r="B1037">
        <v>1</v>
      </c>
      <c r="C1037">
        <v>142000</v>
      </c>
      <c r="D1037">
        <v>340427</v>
      </c>
      <c r="E1037">
        <v>142000</v>
      </c>
      <c r="F1037">
        <v>142000</v>
      </c>
      <c r="G1037" s="1">
        <v>7.4999999999999997E-3</v>
      </c>
      <c r="H1037" s="1">
        <v>7.4999999999999997E-3</v>
      </c>
      <c r="I1037" s="1">
        <v>7.4999999999999997E-3</v>
      </c>
      <c r="J1037" s="1">
        <v>0.38650000000000001</v>
      </c>
    </row>
    <row r="1038" spans="1:10" x14ac:dyDescent="0.2">
      <c r="A1038" t="str">
        <f>"26/06/2022"</f>
        <v>26/06/2022</v>
      </c>
      <c r="B1038">
        <v>1</v>
      </c>
      <c r="C1038">
        <v>142000</v>
      </c>
      <c r="D1038">
        <v>345784</v>
      </c>
      <c r="E1038">
        <v>142000</v>
      </c>
      <c r="F1038">
        <v>142000</v>
      </c>
      <c r="G1038" s="1">
        <v>7.4999999999999997E-3</v>
      </c>
      <c r="H1038" s="1">
        <v>7.4999999999999997E-3</v>
      </c>
      <c r="I1038" s="1">
        <v>7.4999999999999997E-3</v>
      </c>
      <c r="J1038" s="1">
        <v>0.37609999999999999</v>
      </c>
    </row>
    <row r="1039" spans="1:10" x14ac:dyDescent="0.2">
      <c r="A1039" t="str">
        <f>"23/06/2022"</f>
        <v>23/06/2022</v>
      </c>
      <c r="B1039">
        <v>3</v>
      </c>
      <c r="C1039">
        <v>143000</v>
      </c>
      <c r="D1039">
        <v>350745</v>
      </c>
      <c r="E1039">
        <v>143000</v>
      </c>
      <c r="F1039">
        <v>143000</v>
      </c>
      <c r="G1039" s="1">
        <v>7.4999999999999997E-3</v>
      </c>
      <c r="H1039" s="1">
        <v>7.4999999999999997E-3</v>
      </c>
      <c r="I1039" s="1">
        <v>7.4999999999999997E-3</v>
      </c>
      <c r="J1039" s="1">
        <v>0.37669999999999998</v>
      </c>
    </row>
    <row r="1040" spans="1:10" x14ac:dyDescent="0.2">
      <c r="A1040" t="str">
        <f>"22/06/2022"</f>
        <v>22/06/2022</v>
      </c>
      <c r="B1040">
        <v>1</v>
      </c>
      <c r="C1040">
        <v>146000</v>
      </c>
      <c r="D1040">
        <v>358398</v>
      </c>
      <c r="E1040">
        <v>146000</v>
      </c>
      <c r="F1040">
        <v>146000</v>
      </c>
      <c r="G1040" s="1">
        <v>7.4999999999999997E-3</v>
      </c>
      <c r="H1040" s="1">
        <v>7.4999999999999997E-3</v>
      </c>
      <c r="I1040" s="1">
        <v>7.4999999999999997E-3</v>
      </c>
      <c r="J1040" s="1">
        <v>0.37259999999999999</v>
      </c>
    </row>
    <row r="1041" spans="1:10" x14ac:dyDescent="0.2">
      <c r="A1041" t="str">
        <f>"21/06/2022"</f>
        <v>21/06/2022</v>
      </c>
      <c r="B1041">
        <v>1</v>
      </c>
      <c r="C1041">
        <v>146000</v>
      </c>
      <c r="D1041">
        <v>360759</v>
      </c>
      <c r="E1041">
        <v>146000</v>
      </c>
      <c r="F1041">
        <v>146000</v>
      </c>
      <c r="G1041" s="1">
        <v>7.4999999999999997E-3</v>
      </c>
      <c r="H1041" s="1">
        <v>7.4999999999999997E-3</v>
      </c>
      <c r="I1041" s="1">
        <v>7.4999999999999997E-3</v>
      </c>
      <c r="J1041" s="1">
        <v>0.37230000000000002</v>
      </c>
    </row>
    <row r="1042" spans="1:10" x14ac:dyDescent="0.2">
      <c r="A1042" t="str">
        <f>"20/06/2022"</f>
        <v>20/06/2022</v>
      </c>
      <c r="B1042">
        <v>1</v>
      </c>
      <c r="C1042">
        <v>146000</v>
      </c>
      <c r="D1042">
        <v>364404</v>
      </c>
      <c r="E1042">
        <v>146000</v>
      </c>
      <c r="F1042">
        <v>146000</v>
      </c>
      <c r="G1042" s="1">
        <v>7.4999999999999997E-3</v>
      </c>
      <c r="H1042" s="1">
        <v>7.4999999999999997E-3</v>
      </c>
      <c r="I1042" s="1">
        <v>7.4999999999999997E-3</v>
      </c>
      <c r="J1042" s="1">
        <v>0.36919999999999997</v>
      </c>
    </row>
    <row r="1043" spans="1:10" x14ac:dyDescent="0.2">
      <c r="A1043" t="str">
        <f>"19/06/2022"</f>
        <v>19/06/2022</v>
      </c>
      <c r="B1043">
        <v>1</v>
      </c>
      <c r="C1043">
        <v>148000</v>
      </c>
      <c r="D1043">
        <v>347645</v>
      </c>
      <c r="E1043">
        <v>148000</v>
      </c>
      <c r="F1043">
        <v>148000</v>
      </c>
      <c r="G1043" s="1">
        <v>7.4999999999999997E-3</v>
      </c>
      <c r="H1043" s="1">
        <v>7.4999999999999997E-3</v>
      </c>
      <c r="I1043" s="1">
        <v>7.4999999999999997E-3</v>
      </c>
      <c r="J1043" s="1">
        <v>0.39340000000000003</v>
      </c>
    </row>
    <row r="1044" spans="1:10" x14ac:dyDescent="0.2">
      <c r="A1044" t="str">
        <f>"16/06/2022"</f>
        <v>16/06/2022</v>
      </c>
      <c r="B1044">
        <v>3</v>
      </c>
      <c r="C1044">
        <v>155000</v>
      </c>
      <c r="D1044">
        <v>360261</v>
      </c>
      <c r="E1044">
        <v>155000</v>
      </c>
      <c r="F1044">
        <v>155000</v>
      </c>
      <c r="G1044" s="1">
        <v>7.4999999999999997E-3</v>
      </c>
      <c r="H1044" s="1">
        <v>7.4999999999999997E-3</v>
      </c>
      <c r="I1044" s="1">
        <v>7.4999999999999997E-3</v>
      </c>
      <c r="J1044" s="1">
        <v>0.40010000000000001</v>
      </c>
    </row>
    <row r="1045" spans="1:10" x14ac:dyDescent="0.2">
      <c r="A1045" t="str">
        <f>"15/06/2022"</f>
        <v>15/06/2022</v>
      </c>
      <c r="B1045">
        <v>1</v>
      </c>
      <c r="C1045">
        <v>165000</v>
      </c>
      <c r="D1045">
        <v>394586</v>
      </c>
      <c r="E1045">
        <v>165000</v>
      </c>
      <c r="F1045">
        <v>165000</v>
      </c>
      <c r="G1045" s="1">
        <v>7.4999999999999997E-3</v>
      </c>
      <c r="H1045" s="1">
        <v>7.4999999999999997E-3</v>
      </c>
      <c r="I1045" s="1">
        <v>7.4999999999999997E-3</v>
      </c>
      <c r="J1045" s="1">
        <v>0.38690000000000002</v>
      </c>
    </row>
    <row r="1046" spans="1:10" x14ac:dyDescent="0.2">
      <c r="A1046" t="str">
        <f>"14/06/2022"</f>
        <v>14/06/2022</v>
      </c>
      <c r="B1046">
        <v>1</v>
      </c>
      <c r="C1046">
        <v>164000</v>
      </c>
      <c r="D1046">
        <v>401594</v>
      </c>
      <c r="E1046">
        <v>164000</v>
      </c>
      <c r="F1046">
        <v>164000</v>
      </c>
      <c r="G1046" s="1">
        <v>7.4999999999999997E-3</v>
      </c>
      <c r="H1046" s="1">
        <v>7.4999999999999997E-3</v>
      </c>
      <c r="I1046" s="1">
        <v>7.4999999999999997E-3</v>
      </c>
      <c r="J1046" s="1">
        <v>0.3765</v>
      </c>
    </row>
    <row r="1047" spans="1:10" x14ac:dyDescent="0.2">
      <c r="A1047" t="str">
        <f>"13/06/2022"</f>
        <v>13/06/2022</v>
      </c>
      <c r="B1047">
        <v>1</v>
      </c>
      <c r="C1047">
        <v>164000</v>
      </c>
      <c r="D1047">
        <v>399795</v>
      </c>
      <c r="E1047">
        <v>164000</v>
      </c>
      <c r="F1047">
        <v>164000</v>
      </c>
      <c r="G1047" s="1">
        <v>7.4999999999999997E-3</v>
      </c>
      <c r="H1047" s="1">
        <v>7.4999999999999997E-3</v>
      </c>
      <c r="I1047" s="1">
        <v>7.4999999999999997E-3</v>
      </c>
      <c r="J1047" s="1">
        <v>0.379</v>
      </c>
    </row>
    <row r="1048" spans="1:10" x14ac:dyDescent="0.2">
      <c r="A1048" t="str">
        <f>"12/06/2022"</f>
        <v>12/06/2022</v>
      </c>
      <c r="B1048">
        <v>1</v>
      </c>
      <c r="C1048">
        <v>165000</v>
      </c>
      <c r="D1048">
        <v>401638</v>
      </c>
      <c r="E1048">
        <v>165000</v>
      </c>
      <c r="F1048">
        <v>165000</v>
      </c>
      <c r="G1048" s="1">
        <v>7.4999999999999997E-3</v>
      </c>
      <c r="H1048" s="1">
        <v>7.4999999999999997E-3</v>
      </c>
      <c r="I1048" s="1">
        <v>7.4999999999999997E-3</v>
      </c>
      <c r="J1048" s="1">
        <v>0.38109999999999999</v>
      </c>
    </row>
    <row r="1049" spans="1:10" x14ac:dyDescent="0.2">
      <c r="A1049" t="str">
        <f>"09/06/2022"</f>
        <v>09/06/2022</v>
      </c>
      <c r="B1049">
        <v>3</v>
      </c>
      <c r="C1049">
        <v>167000</v>
      </c>
      <c r="D1049">
        <v>384090</v>
      </c>
      <c r="E1049">
        <v>167000</v>
      </c>
      <c r="F1049">
        <v>167000</v>
      </c>
      <c r="G1049" s="1">
        <v>7.4999999999999997E-3</v>
      </c>
      <c r="H1049" s="1">
        <v>7.4999999999999997E-3</v>
      </c>
      <c r="I1049" s="1">
        <v>7.4999999999999997E-3</v>
      </c>
      <c r="J1049" s="1">
        <v>0.40920000000000001</v>
      </c>
    </row>
    <row r="1050" spans="1:10" x14ac:dyDescent="0.2">
      <c r="A1050" t="str">
        <f>"08/06/2022"</f>
        <v>08/06/2022</v>
      </c>
      <c r="B1050">
        <v>1</v>
      </c>
      <c r="C1050">
        <v>164000</v>
      </c>
      <c r="D1050">
        <v>372767</v>
      </c>
      <c r="E1050">
        <v>164000</v>
      </c>
      <c r="F1050">
        <v>164000</v>
      </c>
      <c r="G1050" s="1">
        <v>7.4999999999999997E-3</v>
      </c>
      <c r="H1050" s="1">
        <v>7.4999999999999997E-3</v>
      </c>
      <c r="I1050" s="1">
        <v>7.4999999999999997E-3</v>
      </c>
      <c r="J1050" s="1">
        <v>0.41320000000000001</v>
      </c>
    </row>
    <row r="1051" spans="1:10" x14ac:dyDescent="0.2">
      <c r="A1051" t="str">
        <f>"07/06/2022"</f>
        <v>07/06/2022</v>
      </c>
      <c r="B1051">
        <v>1</v>
      </c>
      <c r="C1051">
        <v>167000</v>
      </c>
      <c r="D1051">
        <v>386689</v>
      </c>
      <c r="E1051">
        <v>167000</v>
      </c>
      <c r="F1051">
        <v>167000</v>
      </c>
      <c r="G1051" s="1">
        <v>7.4999999999999997E-3</v>
      </c>
      <c r="H1051" s="1">
        <v>7.4999999999999997E-3</v>
      </c>
      <c r="I1051" s="1">
        <v>7.4999999999999997E-3</v>
      </c>
      <c r="J1051" s="1">
        <v>0.40939999999999999</v>
      </c>
    </row>
    <row r="1052" spans="1:10" x14ac:dyDescent="0.2">
      <c r="A1052" t="str">
        <f>"06/06/2022"</f>
        <v>06/06/2022</v>
      </c>
      <c r="B1052">
        <v>1</v>
      </c>
      <c r="C1052">
        <v>167000</v>
      </c>
      <c r="D1052">
        <v>403211</v>
      </c>
      <c r="E1052">
        <v>167000</v>
      </c>
      <c r="F1052">
        <v>167000</v>
      </c>
      <c r="G1052" s="1">
        <v>7.4999999999999997E-3</v>
      </c>
      <c r="H1052" s="1">
        <v>7.4999999999999997E-3</v>
      </c>
      <c r="I1052" s="1">
        <v>7.4999999999999997E-3</v>
      </c>
      <c r="J1052" s="1">
        <v>0.38900000000000001</v>
      </c>
    </row>
    <row r="1053" spans="1:10" x14ac:dyDescent="0.2">
      <c r="A1053" t="str">
        <f>"02/06/2022"</f>
        <v>02/06/2022</v>
      </c>
      <c r="B1053">
        <v>4</v>
      </c>
      <c r="C1053">
        <v>168000</v>
      </c>
      <c r="D1053">
        <v>420377</v>
      </c>
      <c r="E1053">
        <v>168000</v>
      </c>
      <c r="F1053">
        <v>168000</v>
      </c>
      <c r="G1053" s="1">
        <v>7.4999999999999997E-3</v>
      </c>
      <c r="H1053" s="1">
        <v>7.4999999999999997E-3</v>
      </c>
      <c r="I1053" s="1">
        <v>7.4999999999999997E-3</v>
      </c>
      <c r="J1053" s="1">
        <v>0.37430000000000002</v>
      </c>
    </row>
    <row r="1054" spans="1:10" x14ac:dyDescent="0.2">
      <c r="A1054" t="str">
        <f>"01/06/2022"</f>
        <v>01/06/2022</v>
      </c>
      <c r="B1054">
        <v>1</v>
      </c>
      <c r="C1054">
        <v>167000</v>
      </c>
      <c r="D1054">
        <v>423720</v>
      </c>
      <c r="E1054">
        <v>167000</v>
      </c>
      <c r="F1054">
        <v>167000</v>
      </c>
      <c r="G1054" s="1">
        <v>7.4999999999999997E-3</v>
      </c>
      <c r="H1054" s="1">
        <v>7.4999999999999997E-3</v>
      </c>
      <c r="I1054" s="1">
        <v>7.4999999999999997E-3</v>
      </c>
      <c r="J1054" s="1">
        <v>0.36349999999999999</v>
      </c>
    </row>
    <row r="1055" spans="1:10" x14ac:dyDescent="0.2">
      <c r="A1055" t="str">
        <f>"31/05/2022"</f>
        <v>31/05/2022</v>
      </c>
      <c r="B1055">
        <v>1</v>
      </c>
      <c r="C1055">
        <v>159000</v>
      </c>
      <c r="D1055">
        <v>399797</v>
      </c>
      <c r="E1055">
        <v>159000</v>
      </c>
      <c r="F1055">
        <v>159000</v>
      </c>
      <c r="G1055" s="1">
        <v>7.4999999999999997E-3</v>
      </c>
      <c r="H1055" s="1">
        <v>7.4999999999999997E-3</v>
      </c>
      <c r="I1055" s="1">
        <v>7.4999999999999997E-3</v>
      </c>
      <c r="J1055" s="1">
        <v>0.37009999999999998</v>
      </c>
    </row>
    <row r="1056" spans="1:10" x14ac:dyDescent="0.2">
      <c r="A1056" t="str">
        <f>"30/05/2022"</f>
        <v>30/05/2022</v>
      </c>
      <c r="B1056">
        <v>1</v>
      </c>
      <c r="C1056">
        <v>153000</v>
      </c>
      <c r="D1056">
        <v>381736</v>
      </c>
      <c r="E1056">
        <v>153000</v>
      </c>
      <c r="F1056">
        <v>153000</v>
      </c>
      <c r="G1056" s="1">
        <v>7.4999999999999997E-3</v>
      </c>
      <c r="H1056" s="1">
        <v>7.4999999999999997E-3</v>
      </c>
      <c r="I1056" s="1">
        <v>7.4999999999999997E-3</v>
      </c>
      <c r="J1056" s="1">
        <v>0.36709999999999998</v>
      </c>
    </row>
    <row r="1057" spans="1:10" x14ac:dyDescent="0.2">
      <c r="A1057" t="str">
        <f>"29/05/2022"</f>
        <v>29/05/2022</v>
      </c>
      <c r="B1057">
        <v>1</v>
      </c>
      <c r="C1057">
        <v>153000</v>
      </c>
      <c r="D1057">
        <v>385585</v>
      </c>
      <c r="E1057">
        <v>153000</v>
      </c>
      <c r="F1057">
        <v>153000</v>
      </c>
      <c r="G1057" s="1">
        <v>7.4999999999999997E-3</v>
      </c>
      <c r="H1057" s="1">
        <v>7.4999999999999997E-3</v>
      </c>
      <c r="I1057" s="1">
        <v>7.4999999999999997E-3</v>
      </c>
      <c r="J1057" s="1">
        <v>0.3634</v>
      </c>
    </row>
    <row r="1058" spans="1:10" x14ac:dyDescent="0.2">
      <c r="A1058" t="str">
        <f>"26/05/2022"</f>
        <v>26/05/2022</v>
      </c>
      <c r="B1058">
        <v>3</v>
      </c>
      <c r="C1058">
        <v>147000</v>
      </c>
      <c r="D1058">
        <v>347359</v>
      </c>
      <c r="E1058">
        <v>147000</v>
      </c>
      <c r="F1058">
        <v>147000</v>
      </c>
      <c r="G1058" s="1">
        <v>7.4999999999999997E-3</v>
      </c>
      <c r="H1058" s="1">
        <v>7.4999999999999997E-3</v>
      </c>
      <c r="I1058" s="1">
        <v>7.4999999999999997E-3</v>
      </c>
      <c r="J1058" s="1">
        <v>0.3906</v>
      </c>
    </row>
    <row r="1059" spans="1:10" x14ac:dyDescent="0.2">
      <c r="A1059" t="str">
        <f>"25/05/2022"</f>
        <v>25/05/2022</v>
      </c>
      <c r="B1059">
        <v>1</v>
      </c>
      <c r="C1059">
        <v>144000</v>
      </c>
      <c r="D1059">
        <v>135395</v>
      </c>
      <c r="E1059">
        <v>135395</v>
      </c>
      <c r="F1059">
        <v>135395</v>
      </c>
      <c r="G1059" s="1">
        <v>3.5000000000000001E-3</v>
      </c>
      <c r="H1059" s="1">
        <v>3.5000000000000001E-3</v>
      </c>
      <c r="I1059" s="1">
        <v>3.5000000000000001E-3</v>
      </c>
      <c r="J1059" s="1">
        <v>1</v>
      </c>
    </row>
    <row r="1060" spans="1:10" x14ac:dyDescent="0.2">
      <c r="A1060" t="str">
        <f>"24/05/2022"</f>
        <v>24/05/2022</v>
      </c>
      <c r="B1060">
        <v>1</v>
      </c>
      <c r="C1060">
        <v>140000</v>
      </c>
      <c r="D1060">
        <v>303643</v>
      </c>
      <c r="E1060">
        <v>140000</v>
      </c>
      <c r="F1060">
        <v>140000</v>
      </c>
      <c r="G1060" s="1">
        <v>3.5000000000000001E-3</v>
      </c>
      <c r="H1060" s="1">
        <v>3.5000000000000001E-3</v>
      </c>
      <c r="I1060" s="1">
        <v>3.5000000000000001E-3</v>
      </c>
      <c r="J1060" s="1">
        <v>0.432</v>
      </c>
    </row>
    <row r="1061" spans="1:10" x14ac:dyDescent="0.2">
      <c r="A1061" t="str">
        <f>"23/05/2022"</f>
        <v>23/05/2022</v>
      </c>
      <c r="B1061">
        <v>1</v>
      </c>
      <c r="C1061">
        <v>143000</v>
      </c>
      <c r="D1061">
        <v>316789</v>
      </c>
      <c r="E1061">
        <v>143000</v>
      </c>
      <c r="F1061">
        <v>143000</v>
      </c>
      <c r="G1061" s="1">
        <v>3.5000000000000001E-3</v>
      </c>
      <c r="H1061" s="1">
        <v>3.5000000000000001E-3</v>
      </c>
      <c r="I1061" s="1">
        <v>3.5000000000000001E-3</v>
      </c>
      <c r="J1061" s="1">
        <v>0.41810000000000003</v>
      </c>
    </row>
    <row r="1062" spans="1:10" x14ac:dyDescent="0.2">
      <c r="A1062" t="str">
        <f>"22/05/2022"</f>
        <v>22/05/2022</v>
      </c>
      <c r="B1062">
        <v>1</v>
      </c>
      <c r="C1062">
        <v>145000</v>
      </c>
      <c r="D1062">
        <v>321834</v>
      </c>
      <c r="E1062">
        <v>145000</v>
      </c>
      <c r="F1062">
        <v>145000</v>
      </c>
      <c r="G1062" s="1">
        <v>3.5000000000000001E-3</v>
      </c>
      <c r="H1062" s="1">
        <v>3.5000000000000001E-3</v>
      </c>
      <c r="I1062" s="1">
        <v>3.5000000000000001E-3</v>
      </c>
      <c r="J1062" s="1">
        <v>0.41810000000000003</v>
      </c>
    </row>
    <row r="1063" spans="1:10" x14ac:dyDescent="0.2">
      <c r="A1063" t="str">
        <f>"19/05/2022"</f>
        <v>19/05/2022</v>
      </c>
      <c r="B1063">
        <v>3</v>
      </c>
      <c r="C1063">
        <v>152000</v>
      </c>
      <c r="D1063">
        <v>327803</v>
      </c>
      <c r="E1063">
        <v>152000</v>
      </c>
      <c r="F1063">
        <v>152000</v>
      </c>
      <c r="G1063" s="1">
        <v>3.5000000000000001E-3</v>
      </c>
      <c r="H1063" s="1">
        <v>3.5000000000000001E-3</v>
      </c>
      <c r="I1063" s="1">
        <v>3.5000000000000001E-3</v>
      </c>
      <c r="J1063" s="1">
        <v>0.43519999999999998</v>
      </c>
    </row>
    <row r="1064" spans="1:10" x14ac:dyDescent="0.2">
      <c r="A1064" t="str">
        <f>"18/05/2022"</f>
        <v>18/05/2022</v>
      </c>
      <c r="B1064">
        <v>1</v>
      </c>
      <c r="C1064">
        <v>152000</v>
      </c>
      <c r="D1064">
        <v>329536</v>
      </c>
      <c r="E1064">
        <v>152000</v>
      </c>
      <c r="F1064">
        <v>152000</v>
      </c>
      <c r="G1064" s="1">
        <v>3.5000000000000001E-3</v>
      </c>
      <c r="H1064" s="1">
        <v>3.5000000000000001E-3</v>
      </c>
      <c r="I1064" s="1">
        <v>3.5000000000000001E-3</v>
      </c>
      <c r="J1064" s="1">
        <v>0.432</v>
      </c>
    </row>
    <row r="1065" spans="1:10" x14ac:dyDescent="0.2">
      <c r="A1065" t="str">
        <f>"17/05/2022"</f>
        <v>17/05/2022</v>
      </c>
      <c r="B1065">
        <v>1</v>
      </c>
      <c r="C1065">
        <v>151000</v>
      </c>
      <c r="D1065">
        <v>340335</v>
      </c>
      <c r="E1065">
        <v>151000</v>
      </c>
      <c r="F1065">
        <v>151000</v>
      </c>
      <c r="G1065" s="1">
        <v>3.5000000000000001E-3</v>
      </c>
      <c r="H1065" s="1">
        <v>3.5000000000000001E-3</v>
      </c>
      <c r="I1065" s="1">
        <v>3.5000000000000001E-3</v>
      </c>
      <c r="J1065" s="1">
        <v>0.4123</v>
      </c>
    </row>
    <row r="1066" spans="1:10" x14ac:dyDescent="0.2">
      <c r="A1066" t="str">
        <f>"16/05/2022"</f>
        <v>16/05/2022</v>
      </c>
      <c r="B1066">
        <v>1</v>
      </c>
      <c r="C1066">
        <v>157000</v>
      </c>
      <c r="D1066">
        <v>332250</v>
      </c>
      <c r="E1066">
        <v>157000</v>
      </c>
      <c r="F1066">
        <v>157000</v>
      </c>
      <c r="G1066" s="1">
        <v>3.5000000000000001E-3</v>
      </c>
      <c r="H1066" s="1">
        <v>3.5000000000000001E-3</v>
      </c>
      <c r="I1066" s="1">
        <v>3.5000000000000001E-3</v>
      </c>
      <c r="J1066" s="1">
        <v>0.43969999999999998</v>
      </c>
    </row>
    <row r="1067" spans="1:10" x14ac:dyDescent="0.2">
      <c r="A1067" t="str">
        <f>"15/05/2022"</f>
        <v>15/05/2022</v>
      </c>
      <c r="B1067">
        <v>1</v>
      </c>
      <c r="C1067">
        <v>164000</v>
      </c>
      <c r="D1067">
        <v>342747</v>
      </c>
      <c r="E1067">
        <v>164000</v>
      </c>
      <c r="F1067">
        <v>164000</v>
      </c>
      <c r="G1067" s="1">
        <v>3.5000000000000001E-3</v>
      </c>
      <c r="H1067" s="1">
        <v>3.5000000000000001E-3</v>
      </c>
      <c r="I1067" s="1">
        <v>3.5000000000000001E-3</v>
      </c>
      <c r="J1067" s="1">
        <v>0.44579999999999997</v>
      </c>
    </row>
    <row r="1068" spans="1:10" x14ac:dyDescent="0.2">
      <c r="A1068" t="str">
        <f>"12/05/2022"</f>
        <v>12/05/2022</v>
      </c>
      <c r="B1068">
        <v>3</v>
      </c>
      <c r="C1068">
        <v>168000</v>
      </c>
      <c r="D1068">
        <v>363907</v>
      </c>
      <c r="E1068">
        <v>168000</v>
      </c>
      <c r="F1068">
        <v>168000</v>
      </c>
      <c r="G1068" s="1">
        <v>3.5000000000000001E-3</v>
      </c>
      <c r="H1068" s="1">
        <v>3.5000000000000001E-3</v>
      </c>
      <c r="I1068" s="1">
        <v>3.5000000000000001E-3</v>
      </c>
      <c r="J1068" s="1">
        <v>0.43070000000000003</v>
      </c>
    </row>
    <row r="1069" spans="1:10" x14ac:dyDescent="0.2">
      <c r="A1069" t="str">
        <f>"11/05/2022"</f>
        <v>11/05/2022</v>
      </c>
      <c r="B1069">
        <v>1</v>
      </c>
      <c r="C1069">
        <v>168000</v>
      </c>
      <c r="D1069">
        <v>349453</v>
      </c>
      <c r="E1069">
        <v>168000</v>
      </c>
      <c r="F1069">
        <v>168000</v>
      </c>
      <c r="G1069" s="1">
        <v>3.5000000000000001E-3</v>
      </c>
      <c r="H1069" s="1">
        <v>3.5000000000000001E-3</v>
      </c>
      <c r="I1069" s="1">
        <v>3.5000000000000001E-3</v>
      </c>
      <c r="J1069" s="1">
        <v>0.44919999999999999</v>
      </c>
    </row>
    <row r="1070" spans="1:10" x14ac:dyDescent="0.2">
      <c r="A1070" t="str">
        <f>"10/05/2022"</f>
        <v>10/05/2022</v>
      </c>
      <c r="B1070">
        <v>1</v>
      </c>
      <c r="C1070">
        <v>166000</v>
      </c>
      <c r="D1070">
        <v>354183</v>
      </c>
      <c r="E1070">
        <v>166000</v>
      </c>
      <c r="F1070">
        <v>166000</v>
      </c>
      <c r="G1070" s="1">
        <v>3.5000000000000001E-3</v>
      </c>
      <c r="H1070" s="1">
        <v>3.5000000000000001E-3</v>
      </c>
      <c r="I1070" s="1">
        <v>3.5000000000000001E-3</v>
      </c>
      <c r="J1070" s="1">
        <v>0.43909999999999999</v>
      </c>
    </row>
    <row r="1071" spans="1:10" x14ac:dyDescent="0.2">
      <c r="A1071" t="str">
        <f>"09/05/2022"</f>
        <v>09/05/2022</v>
      </c>
      <c r="B1071">
        <v>1</v>
      </c>
      <c r="C1071">
        <v>167000</v>
      </c>
      <c r="D1071">
        <v>349856</v>
      </c>
      <c r="E1071">
        <v>167000</v>
      </c>
      <c r="F1071">
        <v>167000</v>
      </c>
      <c r="G1071" s="1">
        <v>3.5000000000000001E-3</v>
      </c>
      <c r="H1071" s="1">
        <v>3.5000000000000001E-3</v>
      </c>
      <c r="I1071" s="1">
        <v>3.5000000000000001E-3</v>
      </c>
      <c r="J1071" s="1">
        <v>0.44669999999999999</v>
      </c>
    </row>
    <row r="1072" spans="1:10" x14ac:dyDescent="0.2">
      <c r="A1072" t="str">
        <f>"08/05/2022"</f>
        <v>08/05/2022</v>
      </c>
      <c r="B1072">
        <v>1</v>
      </c>
      <c r="C1072">
        <v>167000</v>
      </c>
      <c r="D1072">
        <v>358010</v>
      </c>
      <c r="E1072">
        <v>167000</v>
      </c>
      <c r="F1072">
        <v>167000</v>
      </c>
      <c r="G1072" s="1">
        <v>3.5000000000000001E-3</v>
      </c>
      <c r="H1072" s="1">
        <v>3.5000000000000001E-3</v>
      </c>
      <c r="I1072" s="1">
        <v>3.5000000000000001E-3</v>
      </c>
      <c r="J1072" s="1">
        <v>0.43609999999999999</v>
      </c>
    </row>
    <row r="1073" spans="1:10" x14ac:dyDescent="0.2">
      <c r="A1073" t="str">
        <f>"03/05/2022"</f>
        <v>03/05/2022</v>
      </c>
      <c r="B1073">
        <v>5</v>
      </c>
      <c r="C1073">
        <v>169000</v>
      </c>
      <c r="D1073">
        <v>360102</v>
      </c>
      <c r="E1073">
        <v>169000</v>
      </c>
      <c r="F1073">
        <v>169000</v>
      </c>
      <c r="G1073" s="1">
        <v>3.5000000000000001E-3</v>
      </c>
      <c r="H1073" s="1">
        <v>3.5000000000000001E-3</v>
      </c>
      <c r="I1073" s="1">
        <v>3.5000000000000001E-3</v>
      </c>
      <c r="J1073" s="1">
        <v>0.443</v>
      </c>
    </row>
    <row r="1074" spans="1:10" x14ac:dyDescent="0.2">
      <c r="A1074" t="str">
        <f>"02/05/2022"</f>
        <v>02/05/2022</v>
      </c>
      <c r="B1074">
        <v>1</v>
      </c>
      <c r="C1074">
        <v>168000</v>
      </c>
      <c r="D1074">
        <v>360749</v>
      </c>
      <c r="E1074">
        <v>168000</v>
      </c>
      <c r="F1074">
        <v>168000</v>
      </c>
      <c r="G1074" s="1">
        <v>3.5000000000000001E-3</v>
      </c>
      <c r="H1074" s="1">
        <v>3.5000000000000001E-3</v>
      </c>
      <c r="I1074" s="1">
        <v>3.5000000000000001E-3</v>
      </c>
      <c r="J1074" s="1">
        <v>0.435</v>
      </c>
    </row>
    <row r="1075" spans="1:10" x14ac:dyDescent="0.2">
      <c r="A1075" t="str">
        <f>"01/05/2022"</f>
        <v>01/05/2022</v>
      </c>
      <c r="B1075">
        <v>1</v>
      </c>
      <c r="C1075">
        <v>170000</v>
      </c>
      <c r="D1075">
        <v>365898</v>
      </c>
      <c r="E1075">
        <v>170000</v>
      </c>
      <c r="F1075">
        <v>170000</v>
      </c>
      <c r="G1075" s="1">
        <v>3.5000000000000001E-3</v>
      </c>
      <c r="H1075" s="1">
        <v>3.5000000000000001E-3</v>
      </c>
      <c r="I1075" s="1">
        <v>3.5000000000000001E-3</v>
      </c>
      <c r="J1075" s="1">
        <v>0.4355</v>
      </c>
    </row>
    <row r="1076" spans="1:10" x14ac:dyDescent="0.2">
      <c r="A1076" t="str">
        <f>"28/04/2022"</f>
        <v>28/04/2022</v>
      </c>
      <c r="B1076">
        <v>3</v>
      </c>
      <c r="C1076">
        <v>166000</v>
      </c>
      <c r="D1076">
        <v>336430</v>
      </c>
      <c r="E1076">
        <v>166000</v>
      </c>
      <c r="F1076">
        <v>166000</v>
      </c>
      <c r="G1076" s="1">
        <v>3.5000000000000001E-3</v>
      </c>
      <c r="H1076" s="1">
        <v>3.5000000000000001E-3</v>
      </c>
      <c r="I1076" s="1">
        <v>3.5000000000000001E-3</v>
      </c>
      <c r="J1076" s="1">
        <v>0.4672</v>
      </c>
    </row>
    <row r="1077" spans="1:10" x14ac:dyDescent="0.2">
      <c r="A1077" t="str">
        <f>"27/04/2022"</f>
        <v>27/04/2022</v>
      </c>
      <c r="B1077">
        <v>1</v>
      </c>
      <c r="C1077">
        <v>168000</v>
      </c>
      <c r="D1077">
        <v>357745</v>
      </c>
      <c r="E1077">
        <v>168000</v>
      </c>
      <c r="F1077">
        <v>168000</v>
      </c>
      <c r="G1077" s="1">
        <v>3.5000000000000001E-3</v>
      </c>
      <c r="H1077" s="1">
        <v>3.5000000000000001E-3</v>
      </c>
      <c r="I1077" s="1">
        <v>3.5000000000000001E-3</v>
      </c>
      <c r="J1077" s="1">
        <v>0.43569999999999998</v>
      </c>
    </row>
    <row r="1078" spans="1:10" x14ac:dyDescent="0.2">
      <c r="A1078" t="str">
        <f>"26/04/2022"</f>
        <v>26/04/2022</v>
      </c>
      <c r="B1078">
        <v>1</v>
      </c>
      <c r="C1078">
        <v>168000</v>
      </c>
      <c r="D1078">
        <v>378771</v>
      </c>
      <c r="E1078">
        <v>168000</v>
      </c>
      <c r="F1078">
        <v>168000</v>
      </c>
      <c r="G1078" s="1">
        <v>3.5000000000000001E-3</v>
      </c>
      <c r="H1078" s="1">
        <v>3.5000000000000001E-3</v>
      </c>
      <c r="I1078" s="1">
        <v>3.5000000000000001E-3</v>
      </c>
      <c r="J1078" s="1">
        <v>0.41349999999999998</v>
      </c>
    </row>
    <row r="1079" spans="1:10" x14ac:dyDescent="0.2">
      <c r="A1079" t="str">
        <f>"25/04/2022"</f>
        <v>25/04/2022</v>
      </c>
      <c r="B1079">
        <v>1</v>
      </c>
      <c r="C1079">
        <v>171000</v>
      </c>
      <c r="D1079">
        <v>375021</v>
      </c>
      <c r="E1079">
        <v>171000</v>
      </c>
      <c r="F1079">
        <v>171000</v>
      </c>
      <c r="G1079" s="1">
        <v>3.5000000000000001E-3</v>
      </c>
      <c r="H1079" s="1">
        <v>3.5000000000000001E-3</v>
      </c>
      <c r="I1079" s="1">
        <v>3.5000000000000001E-3</v>
      </c>
      <c r="J1079" s="1">
        <v>0.42599999999999999</v>
      </c>
    </row>
    <row r="1080" spans="1:10" x14ac:dyDescent="0.2">
      <c r="A1080" t="str">
        <f>"24/04/2022"</f>
        <v>24/04/2022</v>
      </c>
      <c r="B1080">
        <v>1</v>
      </c>
      <c r="C1080">
        <v>174000</v>
      </c>
      <c r="D1080">
        <v>384257</v>
      </c>
      <c r="E1080">
        <v>174000</v>
      </c>
      <c r="F1080">
        <v>174000</v>
      </c>
      <c r="G1080" s="1">
        <v>3.5000000000000001E-3</v>
      </c>
      <c r="H1080" s="1">
        <v>3.5000000000000001E-3</v>
      </c>
      <c r="I1080" s="1">
        <v>3.5000000000000001E-3</v>
      </c>
      <c r="J1080" s="1">
        <v>0.42380000000000001</v>
      </c>
    </row>
    <row r="1081" spans="1:10" x14ac:dyDescent="0.2">
      <c r="A1081" t="str">
        <f>"20/04/2022"</f>
        <v>20/04/2022</v>
      </c>
      <c r="B1081">
        <v>4</v>
      </c>
      <c r="C1081">
        <v>173000</v>
      </c>
      <c r="D1081">
        <v>371881</v>
      </c>
      <c r="E1081">
        <v>173000</v>
      </c>
      <c r="F1081">
        <v>173000</v>
      </c>
      <c r="G1081" s="1">
        <v>3.5000000000000001E-3</v>
      </c>
      <c r="H1081" s="1">
        <v>3.5000000000000001E-3</v>
      </c>
      <c r="I1081" s="1">
        <v>3.5000000000000001E-3</v>
      </c>
      <c r="J1081" s="1">
        <v>0.44</v>
      </c>
    </row>
    <row r="1082" spans="1:10" x14ac:dyDescent="0.2">
      <c r="A1082" t="str">
        <f>"19/04/2022"</f>
        <v>19/04/2022</v>
      </c>
      <c r="B1082">
        <v>1</v>
      </c>
      <c r="C1082">
        <v>170000</v>
      </c>
      <c r="D1082">
        <v>385980</v>
      </c>
      <c r="E1082">
        <v>170000</v>
      </c>
      <c r="F1082">
        <v>170000</v>
      </c>
      <c r="G1082" s="1">
        <v>3.5000000000000001E-3</v>
      </c>
      <c r="H1082" s="1">
        <v>3.5000000000000001E-3</v>
      </c>
      <c r="I1082" s="1">
        <v>3.5000000000000001E-3</v>
      </c>
      <c r="J1082" s="1">
        <v>0.41589999999999999</v>
      </c>
    </row>
    <row r="1083" spans="1:10" x14ac:dyDescent="0.2">
      <c r="A1083" t="str">
        <f>"18/04/2022"</f>
        <v>18/04/2022</v>
      </c>
      <c r="B1083">
        <v>1</v>
      </c>
      <c r="C1083">
        <v>171000</v>
      </c>
      <c r="D1083">
        <v>395483</v>
      </c>
      <c r="E1083">
        <v>171000</v>
      </c>
      <c r="F1083">
        <v>171000</v>
      </c>
      <c r="G1083" s="1">
        <v>3.5000000000000001E-3</v>
      </c>
      <c r="H1083" s="1">
        <v>3.5000000000000001E-3</v>
      </c>
      <c r="I1083" s="1">
        <v>3.5000000000000001E-3</v>
      </c>
      <c r="J1083" s="1">
        <v>0.40510000000000002</v>
      </c>
    </row>
    <row r="1084" spans="1:10" x14ac:dyDescent="0.2">
      <c r="A1084" t="str">
        <f>"17/04/2022"</f>
        <v>17/04/2022</v>
      </c>
      <c r="B1084">
        <v>1</v>
      </c>
      <c r="C1084">
        <v>173000</v>
      </c>
      <c r="D1084">
        <v>397232</v>
      </c>
      <c r="E1084">
        <v>173000</v>
      </c>
      <c r="F1084">
        <v>173000</v>
      </c>
      <c r="G1084" s="1">
        <v>3.5000000000000001E-3</v>
      </c>
      <c r="H1084" s="1">
        <v>3.5000000000000001E-3</v>
      </c>
      <c r="I1084" s="1">
        <v>3.5000000000000001E-3</v>
      </c>
      <c r="J1084" s="1">
        <v>0.4088</v>
      </c>
    </row>
    <row r="1085" spans="1:10" x14ac:dyDescent="0.2">
      <c r="A1085" t="str">
        <f>"14/04/2022"</f>
        <v>14/04/2022</v>
      </c>
      <c r="B1085">
        <v>3</v>
      </c>
      <c r="C1085">
        <v>176000</v>
      </c>
      <c r="D1085">
        <v>401383</v>
      </c>
      <c r="E1085">
        <v>176000</v>
      </c>
      <c r="F1085">
        <v>176000</v>
      </c>
      <c r="G1085" s="1">
        <v>3.5000000000000001E-3</v>
      </c>
      <c r="H1085" s="1">
        <v>3.5000000000000001E-3</v>
      </c>
      <c r="I1085" s="1">
        <v>3.5000000000000001E-3</v>
      </c>
      <c r="J1085" s="1">
        <v>0.41499999999999998</v>
      </c>
    </row>
    <row r="1086" spans="1:10" x14ac:dyDescent="0.2">
      <c r="A1086" t="str">
        <f>"13/04/2022"</f>
        <v>13/04/2022</v>
      </c>
      <c r="B1086">
        <v>1</v>
      </c>
      <c r="C1086">
        <v>173000</v>
      </c>
      <c r="D1086">
        <v>163794</v>
      </c>
      <c r="E1086">
        <v>163794</v>
      </c>
      <c r="F1086">
        <v>163794</v>
      </c>
      <c r="G1086" s="1">
        <v>1E-3</v>
      </c>
      <c r="H1086" s="1">
        <v>1E-3</v>
      </c>
      <c r="I1086" s="1">
        <v>1E-3</v>
      </c>
      <c r="J1086" s="1">
        <v>1</v>
      </c>
    </row>
    <row r="1087" spans="1:10" x14ac:dyDescent="0.2">
      <c r="A1087" t="str">
        <f>"12/04/2022"</f>
        <v>12/04/2022</v>
      </c>
      <c r="B1087">
        <v>1</v>
      </c>
      <c r="C1087">
        <v>178000</v>
      </c>
      <c r="D1087">
        <v>382309</v>
      </c>
      <c r="E1087">
        <v>178000</v>
      </c>
      <c r="F1087">
        <v>178000</v>
      </c>
      <c r="G1087" s="1">
        <v>1E-3</v>
      </c>
      <c r="H1087" s="1">
        <v>1E-3</v>
      </c>
      <c r="I1087" s="1">
        <v>1E-3</v>
      </c>
      <c r="J1087" s="1">
        <v>0.43869999999999998</v>
      </c>
    </row>
    <row r="1088" spans="1:10" x14ac:dyDescent="0.2">
      <c r="A1088" t="str">
        <f>"11/04/2022"</f>
        <v>11/04/2022</v>
      </c>
      <c r="B1088">
        <v>1</v>
      </c>
      <c r="C1088">
        <v>179000</v>
      </c>
      <c r="D1088">
        <v>379150</v>
      </c>
      <c r="E1088">
        <v>179000</v>
      </c>
      <c r="F1088">
        <v>179000</v>
      </c>
      <c r="G1088" s="1">
        <v>1E-3</v>
      </c>
      <c r="H1088" s="1">
        <v>1E-3</v>
      </c>
      <c r="I1088" s="1">
        <v>1E-3</v>
      </c>
      <c r="J1088" s="1">
        <v>0.44650000000000001</v>
      </c>
    </row>
    <row r="1089" spans="1:10" x14ac:dyDescent="0.2">
      <c r="A1089" t="str">
        <f>"10/04/2022"</f>
        <v>10/04/2022</v>
      </c>
      <c r="B1089">
        <v>1</v>
      </c>
      <c r="C1089">
        <v>177000</v>
      </c>
      <c r="D1089">
        <v>350269</v>
      </c>
      <c r="E1089">
        <v>177000</v>
      </c>
      <c r="F1089">
        <v>177000</v>
      </c>
      <c r="G1089" s="1">
        <v>1E-3</v>
      </c>
      <c r="H1089" s="1">
        <v>1E-3</v>
      </c>
      <c r="I1089" s="1">
        <v>1E-3</v>
      </c>
      <c r="J1089" s="1">
        <v>0.47739999999999999</v>
      </c>
    </row>
    <row r="1090" spans="1:10" x14ac:dyDescent="0.2">
      <c r="A1090" t="str">
        <f>"07/04/2022"</f>
        <v>07/04/2022</v>
      </c>
      <c r="B1090">
        <v>3</v>
      </c>
      <c r="C1090">
        <v>176000</v>
      </c>
      <c r="D1090">
        <v>332676</v>
      </c>
      <c r="E1090">
        <v>176000</v>
      </c>
      <c r="F1090">
        <v>176000</v>
      </c>
      <c r="G1090" s="1">
        <v>1E-3</v>
      </c>
      <c r="H1090" s="1">
        <v>1E-3</v>
      </c>
      <c r="I1090" s="1">
        <v>1E-3</v>
      </c>
      <c r="J1090" s="1">
        <v>0.50460000000000005</v>
      </c>
    </row>
    <row r="1091" spans="1:10" x14ac:dyDescent="0.2">
      <c r="A1091" t="str">
        <f>"06/04/2022"</f>
        <v>06/04/2022</v>
      </c>
      <c r="B1091">
        <v>1</v>
      </c>
      <c r="C1091">
        <v>177000</v>
      </c>
      <c r="D1091">
        <v>365025</v>
      </c>
      <c r="E1091">
        <v>177000</v>
      </c>
      <c r="F1091">
        <v>177000</v>
      </c>
      <c r="G1091" s="1">
        <v>1E-3</v>
      </c>
      <c r="H1091" s="1">
        <v>1E-3</v>
      </c>
      <c r="I1091" s="1">
        <v>1E-3</v>
      </c>
      <c r="J1091" s="1">
        <v>0.45810000000000001</v>
      </c>
    </row>
    <row r="1092" spans="1:10" x14ac:dyDescent="0.2">
      <c r="A1092" t="str">
        <f>"05/04/2022"</f>
        <v>05/04/2022</v>
      </c>
      <c r="B1092">
        <v>1</v>
      </c>
      <c r="C1092">
        <v>179000</v>
      </c>
      <c r="D1092">
        <v>380824</v>
      </c>
      <c r="E1092">
        <v>179000</v>
      </c>
      <c r="F1092">
        <v>179000</v>
      </c>
      <c r="G1092" s="1">
        <v>1E-3</v>
      </c>
      <c r="H1092" s="1">
        <v>1E-3</v>
      </c>
      <c r="I1092" s="1">
        <v>1E-3</v>
      </c>
      <c r="J1092" s="1">
        <v>0.44469999999999998</v>
      </c>
    </row>
    <row r="1093" spans="1:10" x14ac:dyDescent="0.2">
      <c r="A1093" t="str">
        <f>"04/04/2022"</f>
        <v>04/04/2022</v>
      </c>
      <c r="B1093">
        <v>1</v>
      </c>
      <c r="C1093">
        <v>177000</v>
      </c>
      <c r="D1093">
        <v>378511</v>
      </c>
      <c r="E1093">
        <v>177000</v>
      </c>
      <c r="F1093">
        <v>177000</v>
      </c>
      <c r="G1093" s="1">
        <v>1E-3</v>
      </c>
      <c r="H1093" s="1">
        <v>1E-3</v>
      </c>
      <c r="I1093" s="1">
        <v>1E-3</v>
      </c>
      <c r="J1093" s="1">
        <v>0.44080000000000003</v>
      </c>
    </row>
    <row r="1094" spans="1:10" x14ac:dyDescent="0.2">
      <c r="A1094" t="str">
        <f>"03/04/2022"</f>
        <v>03/04/2022</v>
      </c>
      <c r="B1094">
        <v>1</v>
      </c>
      <c r="C1094">
        <v>179000</v>
      </c>
      <c r="D1094">
        <v>368055</v>
      </c>
      <c r="E1094">
        <v>179000</v>
      </c>
      <c r="F1094">
        <v>179000</v>
      </c>
      <c r="G1094" s="1">
        <v>1E-3</v>
      </c>
      <c r="H1094" s="1">
        <v>1E-3</v>
      </c>
      <c r="I1094" s="1">
        <v>1E-3</v>
      </c>
      <c r="J1094" s="1">
        <v>0.46339999999999998</v>
      </c>
    </row>
    <row r="1095" spans="1:10" x14ac:dyDescent="0.2">
      <c r="A1095" t="str">
        <f>"31/03/2022"</f>
        <v>31/03/2022</v>
      </c>
      <c r="B1095">
        <v>3</v>
      </c>
      <c r="C1095">
        <v>176000</v>
      </c>
      <c r="D1095">
        <v>343435</v>
      </c>
      <c r="E1095">
        <v>176000</v>
      </c>
      <c r="F1095">
        <v>176000</v>
      </c>
      <c r="G1095" s="1">
        <v>1E-3</v>
      </c>
      <c r="H1095" s="1">
        <v>1E-3</v>
      </c>
      <c r="I1095" s="1">
        <v>1E-3</v>
      </c>
      <c r="J1095" s="1">
        <v>0.49159999999999998</v>
      </c>
    </row>
    <row r="1096" spans="1:10" x14ac:dyDescent="0.2">
      <c r="A1096" t="str">
        <f>"30/03/2022"</f>
        <v>30/03/2022</v>
      </c>
      <c r="B1096">
        <v>1</v>
      </c>
      <c r="C1096">
        <v>167000</v>
      </c>
      <c r="D1096">
        <v>319071</v>
      </c>
      <c r="E1096">
        <v>167000</v>
      </c>
      <c r="F1096">
        <v>167000</v>
      </c>
      <c r="G1096" s="1">
        <v>1E-3</v>
      </c>
      <c r="H1096" s="1">
        <v>1E-3</v>
      </c>
      <c r="I1096" s="1">
        <v>1E-3</v>
      </c>
      <c r="J1096" s="1">
        <v>0.49909999999999999</v>
      </c>
    </row>
    <row r="1097" spans="1:10" x14ac:dyDescent="0.2">
      <c r="A1097" t="str">
        <f>"29/03/2022"</f>
        <v>29/03/2022</v>
      </c>
      <c r="B1097">
        <v>1</v>
      </c>
      <c r="C1097">
        <v>166000</v>
      </c>
      <c r="D1097">
        <v>356234</v>
      </c>
      <c r="E1097">
        <v>166000</v>
      </c>
      <c r="F1097">
        <v>166000</v>
      </c>
      <c r="G1097" s="1">
        <v>1E-3</v>
      </c>
      <c r="H1097" s="1">
        <v>1E-3</v>
      </c>
      <c r="I1097" s="1">
        <v>1E-3</v>
      </c>
      <c r="J1097" s="1">
        <v>0.43859999999999999</v>
      </c>
    </row>
    <row r="1098" spans="1:10" x14ac:dyDescent="0.2">
      <c r="A1098" t="str">
        <f>"28/03/2022"</f>
        <v>28/03/2022</v>
      </c>
      <c r="B1098">
        <v>1</v>
      </c>
      <c r="C1098">
        <v>168000</v>
      </c>
      <c r="D1098">
        <v>369815</v>
      </c>
      <c r="E1098">
        <v>168000</v>
      </c>
      <c r="F1098">
        <v>168000</v>
      </c>
      <c r="G1098" s="1">
        <v>1E-3</v>
      </c>
      <c r="H1098" s="1">
        <v>1E-3</v>
      </c>
      <c r="I1098" s="1">
        <v>1E-3</v>
      </c>
      <c r="J1098" s="1">
        <v>0.42720000000000002</v>
      </c>
    </row>
    <row r="1099" spans="1:10" x14ac:dyDescent="0.2">
      <c r="A1099" t="str">
        <f>"27/03/2022"</f>
        <v>27/03/2022</v>
      </c>
      <c r="B1099">
        <v>1</v>
      </c>
      <c r="C1099">
        <v>164000</v>
      </c>
      <c r="D1099">
        <v>330367</v>
      </c>
      <c r="E1099">
        <v>164000</v>
      </c>
      <c r="F1099">
        <v>164000</v>
      </c>
      <c r="G1099" s="1">
        <v>1E-3</v>
      </c>
      <c r="H1099" s="1">
        <v>1E-3</v>
      </c>
      <c r="I1099" s="1">
        <v>1E-3</v>
      </c>
      <c r="J1099" s="1">
        <v>0.46589999999999998</v>
      </c>
    </row>
    <row r="1100" spans="1:10" x14ac:dyDescent="0.2">
      <c r="A1100" t="str">
        <f>"24/03/2022"</f>
        <v>24/03/2022</v>
      </c>
      <c r="B1100">
        <v>3</v>
      </c>
      <c r="C1100">
        <v>169000</v>
      </c>
      <c r="D1100">
        <v>319098</v>
      </c>
      <c r="E1100">
        <v>169000</v>
      </c>
      <c r="F1100">
        <v>169000</v>
      </c>
      <c r="G1100" s="1">
        <v>1E-3</v>
      </c>
      <c r="H1100" s="1">
        <v>1E-3</v>
      </c>
      <c r="I1100" s="1">
        <v>1E-3</v>
      </c>
      <c r="J1100" s="1">
        <v>0.50390000000000001</v>
      </c>
    </row>
    <row r="1101" spans="1:10" x14ac:dyDescent="0.2">
      <c r="A1101" t="str">
        <f>"23/03/2022"</f>
        <v>23/03/2022</v>
      </c>
      <c r="B1101">
        <v>1</v>
      </c>
      <c r="C1101">
        <v>170000</v>
      </c>
      <c r="D1101">
        <v>335034</v>
      </c>
      <c r="E1101">
        <v>170000</v>
      </c>
      <c r="F1101">
        <v>170000</v>
      </c>
      <c r="G1101" s="1">
        <v>1E-3</v>
      </c>
      <c r="H1101" s="1">
        <v>1E-3</v>
      </c>
      <c r="I1101" s="1">
        <v>1E-3</v>
      </c>
      <c r="J1101" s="1">
        <v>0.48099999999999998</v>
      </c>
    </row>
    <row r="1102" spans="1:10" x14ac:dyDescent="0.2">
      <c r="A1102" t="str">
        <f>"22/03/2022"</f>
        <v>22/03/2022</v>
      </c>
      <c r="B1102">
        <v>1</v>
      </c>
      <c r="C1102">
        <v>171000</v>
      </c>
      <c r="D1102">
        <v>341581</v>
      </c>
      <c r="E1102">
        <v>171000</v>
      </c>
      <c r="F1102">
        <v>171000</v>
      </c>
      <c r="G1102" s="1">
        <v>1E-3</v>
      </c>
      <c r="H1102" s="1">
        <v>1E-3</v>
      </c>
      <c r="I1102" s="1">
        <v>1E-3</v>
      </c>
      <c r="J1102" s="1">
        <v>0.47649999999999998</v>
      </c>
    </row>
    <row r="1103" spans="1:10" x14ac:dyDescent="0.2">
      <c r="A1103" t="str">
        <f>"21/03/2022"</f>
        <v>21/03/2022</v>
      </c>
      <c r="B1103">
        <v>1</v>
      </c>
      <c r="C1103">
        <v>170000</v>
      </c>
      <c r="D1103">
        <v>347019</v>
      </c>
      <c r="E1103">
        <v>170000</v>
      </c>
      <c r="F1103">
        <v>170000</v>
      </c>
      <c r="G1103" s="1">
        <v>1E-3</v>
      </c>
      <c r="H1103" s="1">
        <v>1E-3</v>
      </c>
      <c r="I1103" s="1">
        <v>1E-3</v>
      </c>
      <c r="J1103" s="1">
        <v>0.4642</v>
      </c>
    </row>
    <row r="1104" spans="1:10" x14ac:dyDescent="0.2">
      <c r="A1104" t="str">
        <f>"20/03/2022"</f>
        <v>20/03/2022</v>
      </c>
      <c r="B1104">
        <v>1</v>
      </c>
      <c r="C1104">
        <v>172000</v>
      </c>
      <c r="D1104">
        <v>364723</v>
      </c>
      <c r="E1104">
        <v>172000</v>
      </c>
      <c r="F1104">
        <v>172000</v>
      </c>
      <c r="G1104" s="1">
        <v>1E-3</v>
      </c>
      <c r="H1104" s="1">
        <v>1E-3</v>
      </c>
      <c r="I1104" s="1">
        <v>1E-3</v>
      </c>
      <c r="J1104" s="1">
        <v>0.44579999999999997</v>
      </c>
    </row>
    <row r="1105" spans="1:10" x14ac:dyDescent="0.2">
      <c r="A1105" t="str">
        <f>"16/03/2022"</f>
        <v>16/03/2022</v>
      </c>
      <c r="B1105">
        <v>4</v>
      </c>
      <c r="C1105">
        <v>177000</v>
      </c>
      <c r="D1105">
        <v>385624</v>
      </c>
      <c r="E1105">
        <v>177000</v>
      </c>
      <c r="F1105">
        <v>177000</v>
      </c>
      <c r="G1105" s="1">
        <v>1E-3</v>
      </c>
      <c r="H1105" s="1">
        <v>1E-3</v>
      </c>
      <c r="I1105" s="1">
        <v>1E-3</v>
      </c>
      <c r="J1105" s="1">
        <v>0.4355</v>
      </c>
    </row>
    <row r="1106" spans="1:10" x14ac:dyDescent="0.2">
      <c r="A1106" t="str">
        <f>"15/03/2022"</f>
        <v>15/03/2022</v>
      </c>
      <c r="B1106">
        <v>1</v>
      </c>
      <c r="C1106">
        <v>186000</v>
      </c>
      <c r="D1106">
        <v>403990</v>
      </c>
      <c r="E1106">
        <v>186000</v>
      </c>
      <c r="F1106">
        <v>186000</v>
      </c>
      <c r="G1106" s="1">
        <v>1E-3</v>
      </c>
      <c r="H1106" s="1">
        <v>1E-3</v>
      </c>
      <c r="I1106" s="1">
        <v>1E-3</v>
      </c>
      <c r="J1106" s="1">
        <v>0.4325</v>
      </c>
    </row>
    <row r="1107" spans="1:10" x14ac:dyDescent="0.2">
      <c r="A1107" t="str">
        <f>"14/03/2022"</f>
        <v>14/03/2022</v>
      </c>
      <c r="B1107">
        <v>1</v>
      </c>
      <c r="C1107">
        <v>189000</v>
      </c>
      <c r="D1107">
        <v>421704</v>
      </c>
      <c r="E1107">
        <v>189000</v>
      </c>
      <c r="F1107">
        <v>189000</v>
      </c>
      <c r="G1107" s="1">
        <v>1E-3</v>
      </c>
      <c r="H1107" s="1">
        <v>1E-3</v>
      </c>
      <c r="I1107" s="1">
        <v>1E-3</v>
      </c>
      <c r="J1107" s="1">
        <v>0.42020000000000002</v>
      </c>
    </row>
    <row r="1108" spans="1:10" x14ac:dyDescent="0.2">
      <c r="A1108" t="str">
        <f>"13/03/2022"</f>
        <v>13/03/2022</v>
      </c>
      <c r="B1108">
        <v>1</v>
      </c>
      <c r="C1108">
        <v>191000</v>
      </c>
      <c r="D1108">
        <v>428807</v>
      </c>
      <c r="E1108">
        <v>191000</v>
      </c>
      <c r="F1108">
        <v>191000</v>
      </c>
      <c r="G1108" s="1">
        <v>1E-3</v>
      </c>
      <c r="H1108" s="1">
        <v>1E-3</v>
      </c>
      <c r="I1108" s="1">
        <v>1E-3</v>
      </c>
      <c r="J1108" s="1">
        <v>0.41670000000000001</v>
      </c>
    </row>
    <row r="1109" spans="1:10" x14ac:dyDescent="0.2">
      <c r="A1109" t="str">
        <f>"10/03/2022"</f>
        <v>10/03/2022</v>
      </c>
      <c r="B1109">
        <v>3</v>
      </c>
      <c r="C1109">
        <v>191000</v>
      </c>
      <c r="D1109">
        <v>442399</v>
      </c>
      <c r="E1109">
        <v>191000</v>
      </c>
      <c r="F1109">
        <v>191000</v>
      </c>
      <c r="G1109" s="1">
        <v>1E-3</v>
      </c>
      <c r="H1109" s="1">
        <v>1E-3</v>
      </c>
      <c r="I1109" s="1">
        <v>1E-3</v>
      </c>
      <c r="J1109" s="1">
        <v>0.40639999999999998</v>
      </c>
    </row>
    <row r="1110" spans="1:10" x14ac:dyDescent="0.2">
      <c r="A1110" t="str">
        <f>"09/03/2022"</f>
        <v>09/03/2022</v>
      </c>
      <c r="B1110">
        <v>1</v>
      </c>
      <c r="C1110">
        <v>189000</v>
      </c>
      <c r="D1110">
        <v>467188</v>
      </c>
      <c r="E1110">
        <v>189000</v>
      </c>
      <c r="F1110">
        <v>189000</v>
      </c>
      <c r="G1110" s="1">
        <v>1E-3</v>
      </c>
      <c r="H1110" s="1">
        <v>1E-3</v>
      </c>
      <c r="I1110" s="1">
        <v>1E-3</v>
      </c>
      <c r="J1110" s="1">
        <v>0.37680000000000002</v>
      </c>
    </row>
    <row r="1111" spans="1:10" x14ac:dyDescent="0.2">
      <c r="A1111" t="str">
        <f>"08/03/2022"</f>
        <v>08/03/2022</v>
      </c>
      <c r="B1111">
        <v>1</v>
      </c>
      <c r="C1111">
        <v>190000</v>
      </c>
      <c r="D1111">
        <v>469198</v>
      </c>
      <c r="E1111">
        <v>190000</v>
      </c>
      <c r="F1111">
        <v>190000</v>
      </c>
      <c r="G1111" s="1">
        <v>1E-3</v>
      </c>
      <c r="H1111" s="1">
        <v>1E-3</v>
      </c>
      <c r="I1111" s="1">
        <v>1E-3</v>
      </c>
      <c r="J1111" s="1">
        <v>0.3765</v>
      </c>
    </row>
    <row r="1112" spans="1:10" x14ac:dyDescent="0.2">
      <c r="A1112" t="str">
        <f>"07/03/2022"</f>
        <v>07/03/2022</v>
      </c>
      <c r="B1112">
        <v>1</v>
      </c>
      <c r="C1112">
        <v>189000</v>
      </c>
      <c r="D1112">
        <v>469572</v>
      </c>
      <c r="E1112">
        <v>189000</v>
      </c>
      <c r="F1112">
        <v>189000</v>
      </c>
      <c r="G1112" s="1">
        <v>1E-3</v>
      </c>
      <c r="H1112" s="1">
        <v>1E-3</v>
      </c>
      <c r="I1112" s="1">
        <v>1E-3</v>
      </c>
      <c r="J1112" s="1">
        <v>0.37580000000000002</v>
      </c>
    </row>
    <row r="1113" spans="1:10" x14ac:dyDescent="0.2">
      <c r="A1113" t="str">
        <f>"06/03/2022"</f>
        <v>06/03/2022</v>
      </c>
      <c r="B1113">
        <v>1</v>
      </c>
      <c r="C1113">
        <v>189000</v>
      </c>
      <c r="D1113">
        <v>467615</v>
      </c>
      <c r="E1113">
        <v>189000</v>
      </c>
      <c r="F1113">
        <v>189000</v>
      </c>
      <c r="G1113" s="1">
        <v>1E-3</v>
      </c>
      <c r="H1113" s="1">
        <v>1E-3</v>
      </c>
      <c r="I1113" s="1">
        <v>1E-3</v>
      </c>
      <c r="J1113" s="1">
        <v>0.37709999999999999</v>
      </c>
    </row>
    <row r="1114" spans="1:10" x14ac:dyDescent="0.2">
      <c r="A1114" t="str">
        <f>"03/03/2022"</f>
        <v>03/03/2022</v>
      </c>
      <c r="B1114">
        <v>3</v>
      </c>
      <c r="C1114">
        <v>190000</v>
      </c>
      <c r="D1114">
        <v>462998</v>
      </c>
      <c r="E1114">
        <v>190000</v>
      </c>
      <c r="F1114">
        <v>190000</v>
      </c>
      <c r="G1114" s="1">
        <v>1E-3</v>
      </c>
      <c r="H1114" s="1">
        <v>1E-3</v>
      </c>
      <c r="I1114" s="1">
        <v>1E-3</v>
      </c>
      <c r="J1114" s="1">
        <v>0.38590000000000002</v>
      </c>
    </row>
    <row r="1115" spans="1:10" x14ac:dyDescent="0.2">
      <c r="A1115" t="str">
        <f>"02/03/2022"</f>
        <v>02/03/2022</v>
      </c>
      <c r="B1115">
        <v>1</v>
      </c>
      <c r="C1115">
        <v>189000</v>
      </c>
      <c r="D1115">
        <v>466003</v>
      </c>
      <c r="E1115">
        <v>189000</v>
      </c>
      <c r="F1115">
        <v>189000</v>
      </c>
      <c r="G1115" s="1">
        <v>1E-3</v>
      </c>
      <c r="H1115" s="1">
        <v>1E-3</v>
      </c>
      <c r="I1115" s="1">
        <v>1E-3</v>
      </c>
      <c r="J1115" s="1">
        <v>0.37969999999999998</v>
      </c>
    </row>
    <row r="1116" spans="1:10" x14ac:dyDescent="0.2">
      <c r="A1116" t="str">
        <f>"01/03/2022"</f>
        <v>01/03/2022</v>
      </c>
      <c r="B1116">
        <v>1</v>
      </c>
      <c r="C1116">
        <v>192000</v>
      </c>
      <c r="D1116">
        <v>470415</v>
      </c>
      <c r="E1116">
        <v>192000</v>
      </c>
      <c r="F1116">
        <v>192000</v>
      </c>
      <c r="G1116" s="1">
        <v>1E-3</v>
      </c>
      <c r="H1116" s="1">
        <v>1E-3</v>
      </c>
      <c r="I1116" s="1">
        <v>1E-3</v>
      </c>
      <c r="J1116" s="1">
        <v>0.38200000000000001</v>
      </c>
    </row>
    <row r="1117" spans="1:10" x14ac:dyDescent="0.2">
      <c r="A1117" t="str">
        <f>"28/02/2022"</f>
        <v>28/02/2022</v>
      </c>
      <c r="B1117">
        <v>1</v>
      </c>
      <c r="C1117">
        <v>183000</v>
      </c>
      <c r="D1117">
        <v>444535</v>
      </c>
      <c r="E1117">
        <v>183000</v>
      </c>
      <c r="F1117">
        <v>183000</v>
      </c>
      <c r="G1117" s="1">
        <v>1E-3</v>
      </c>
      <c r="H1117" s="1">
        <v>1E-3</v>
      </c>
      <c r="I1117" s="1">
        <v>1E-3</v>
      </c>
      <c r="J1117" s="1">
        <v>0.3841</v>
      </c>
    </row>
    <row r="1118" spans="1:10" x14ac:dyDescent="0.2">
      <c r="A1118" t="str">
        <f>"27/02/2022"</f>
        <v>27/02/2022</v>
      </c>
      <c r="B1118">
        <v>1</v>
      </c>
      <c r="C1118">
        <v>174000</v>
      </c>
      <c r="D1118">
        <v>413290</v>
      </c>
      <c r="E1118">
        <v>174000</v>
      </c>
      <c r="F1118">
        <v>174000</v>
      </c>
      <c r="G1118" s="1">
        <v>1E-3</v>
      </c>
      <c r="H1118" s="1">
        <v>1E-3</v>
      </c>
      <c r="I1118" s="1">
        <v>1E-3</v>
      </c>
      <c r="J1118" s="1">
        <v>0.39389999999999997</v>
      </c>
    </row>
    <row r="1119" spans="1:10" x14ac:dyDescent="0.2">
      <c r="A1119" t="str">
        <f>"24/02/2022"</f>
        <v>24/02/2022</v>
      </c>
      <c r="B1119">
        <v>3</v>
      </c>
      <c r="C1119">
        <v>177000</v>
      </c>
      <c r="D1119">
        <v>409435</v>
      </c>
      <c r="E1119">
        <v>177000</v>
      </c>
      <c r="F1119">
        <v>177000</v>
      </c>
      <c r="G1119" s="1">
        <v>1E-3</v>
      </c>
      <c r="H1119" s="1">
        <v>1E-3</v>
      </c>
      <c r="I1119" s="1">
        <v>1E-3</v>
      </c>
      <c r="J1119" s="1">
        <v>0.41</v>
      </c>
    </row>
    <row r="1120" spans="1:10" x14ac:dyDescent="0.2">
      <c r="A1120" t="str">
        <f>"23/02/2022"</f>
        <v>23/02/2022</v>
      </c>
      <c r="B1120">
        <v>1</v>
      </c>
      <c r="C1120">
        <v>168000</v>
      </c>
      <c r="D1120">
        <v>157597</v>
      </c>
      <c r="E1120">
        <v>157597</v>
      </c>
      <c r="F1120">
        <v>157597</v>
      </c>
      <c r="G1120" s="1">
        <v>1E-3</v>
      </c>
      <c r="H1120" s="1">
        <v>1E-3</v>
      </c>
      <c r="I1120" s="1">
        <v>1E-3</v>
      </c>
      <c r="J1120" s="1">
        <v>1</v>
      </c>
    </row>
    <row r="1121" spans="1:10" x14ac:dyDescent="0.2">
      <c r="A1121" t="str">
        <f>"22/02/2022"</f>
        <v>22/02/2022</v>
      </c>
      <c r="B1121">
        <v>1</v>
      </c>
      <c r="C1121">
        <v>179000</v>
      </c>
      <c r="D1121">
        <v>403195</v>
      </c>
      <c r="E1121">
        <v>179000</v>
      </c>
      <c r="F1121">
        <v>179000</v>
      </c>
      <c r="G1121" s="1">
        <v>1E-3</v>
      </c>
      <c r="H1121" s="1">
        <v>1E-3</v>
      </c>
      <c r="I1121" s="1">
        <v>1E-3</v>
      </c>
      <c r="J1121" s="1">
        <v>0.4234</v>
      </c>
    </row>
    <row r="1122" spans="1:10" x14ac:dyDescent="0.2">
      <c r="A1122" t="str">
        <f>"21/02/2022"</f>
        <v>21/02/2022</v>
      </c>
      <c r="B1122">
        <v>1</v>
      </c>
      <c r="C1122">
        <v>177000</v>
      </c>
      <c r="D1122">
        <v>405263</v>
      </c>
      <c r="E1122">
        <v>177000</v>
      </c>
      <c r="F1122">
        <v>177000</v>
      </c>
      <c r="G1122" s="1">
        <v>1E-3</v>
      </c>
      <c r="H1122" s="1">
        <v>1E-3</v>
      </c>
      <c r="I1122" s="1">
        <v>1E-3</v>
      </c>
      <c r="J1122" s="1">
        <v>0.41460000000000002</v>
      </c>
    </row>
    <row r="1123" spans="1:10" x14ac:dyDescent="0.2">
      <c r="A1123" t="str">
        <f>"20/02/2022"</f>
        <v>20/02/2022</v>
      </c>
      <c r="B1123">
        <v>1</v>
      </c>
      <c r="C1123">
        <v>181000</v>
      </c>
      <c r="D1123">
        <v>415167</v>
      </c>
      <c r="E1123">
        <v>181000</v>
      </c>
      <c r="F1123">
        <v>181000</v>
      </c>
      <c r="G1123" s="1">
        <v>1E-3</v>
      </c>
      <c r="H1123" s="1">
        <v>1E-3</v>
      </c>
      <c r="I1123" s="1">
        <v>1E-3</v>
      </c>
      <c r="J1123" s="1">
        <v>0.4133</v>
      </c>
    </row>
    <row r="1124" spans="1:10" x14ac:dyDescent="0.2">
      <c r="A1124" t="str">
        <f>"17/02/2022"</f>
        <v>17/02/2022</v>
      </c>
      <c r="B1124">
        <v>3</v>
      </c>
      <c r="C1124">
        <v>184000</v>
      </c>
      <c r="D1124">
        <v>421385</v>
      </c>
      <c r="E1124">
        <v>184000</v>
      </c>
      <c r="F1124">
        <v>184000</v>
      </c>
      <c r="G1124" s="1">
        <v>1E-3</v>
      </c>
      <c r="H1124" s="1">
        <v>1E-3</v>
      </c>
      <c r="I1124" s="1">
        <v>1E-3</v>
      </c>
      <c r="J1124" s="1">
        <v>0.4158</v>
      </c>
    </row>
    <row r="1125" spans="1:10" x14ac:dyDescent="0.2">
      <c r="A1125" t="str">
        <f>"16/02/2022"</f>
        <v>16/02/2022</v>
      </c>
      <c r="B1125">
        <v>1</v>
      </c>
      <c r="C1125">
        <v>187000</v>
      </c>
      <c r="D1125">
        <v>426847</v>
      </c>
      <c r="E1125">
        <v>187000</v>
      </c>
      <c r="F1125">
        <v>187000</v>
      </c>
      <c r="G1125" s="1">
        <v>1E-3</v>
      </c>
      <c r="H1125" s="1">
        <v>1E-3</v>
      </c>
      <c r="I1125" s="1">
        <v>1E-3</v>
      </c>
      <c r="J1125" s="1">
        <v>0.41410000000000002</v>
      </c>
    </row>
    <row r="1126" spans="1:10" x14ac:dyDescent="0.2">
      <c r="A1126" t="str">
        <f>"15/02/2022"</f>
        <v>15/02/2022</v>
      </c>
      <c r="B1126">
        <v>1</v>
      </c>
      <c r="C1126">
        <v>196000</v>
      </c>
      <c r="D1126">
        <v>458183</v>
      </c>
      <c r="E1126">
        <v>196000</v>
      </c>
      <c r="F1126">
        <v>196000</v>
      </c>
      <c r="G1126" s="1">
        <v>1E-3</v>
      </c>
      <c r="H1126" s="1">
        <v>1E-3</v>
      </c>
      <c r="I1126" s="1">
        <v>1E-3</v>
      </c>
      <c r="J1126" s="1">
        <v>0.40560000000000002</v>
      </c>
    </row>
    <row r="1127" spans="1:10" x14ac:dyDescent="0.2">
      <c r="A1127" t="str">
        <f>"14/02/2022"</f>
        <v>14/02/2022</v>
      </c>
      <c r="B1127">
        <v>1</v>
      </c>
      <c r="C1127">
        <v>198000</v>
      </c>
      <c r="D1127">
        <v>471430</v>
      </c>
      <c r="E1127">
        <v>198000</v>
      </c>
      <c r="F1127">
        <v>198000</v>
      </c>
      <c r="G1127" s="1">
        <v>1E-3</v>
      </c>
      <c r="H1127" s="1">
        <v>1E-3</v>
      </c>
      <c r="I1127" s="1">
        <v>1E-3</v>
      </c>
      <c r="J1127" s="1">
        <v>0.39639999999999997</v>
      </c>
    </row>
    <row r="1128" spans="1:10" x14ac:dyDescent="0.2">
      <c r="A1128" t="str">
        <f>"13/02/2022"</f>
        <v>13/02/2022</v>
      </c>
      <c r="B1128">
        <v>1</v>
      </c>
      <c r="C1128">
        <v>199000</v>
      </c>
      <c r="D1128">
        <v>476830</v>
      </c>
      <c r="E1128">
        <v>199000</v>
      </c>
      <c r="F1128">
        <v>199000</v>
      </c>
      <c r="G1128" s="1">
        <v>1E-3</v>
      </c>
      <c r="H1128" s="1">
        <v>1E-3</v>
      </c>
      <c r="I1128" s="1">
        <v>1E-3</v>
      </c>
      <c r="J1128" s="1">
        <v>0.39240000000000003</v>
      </c>
    </row>
    <row r="1129" spans="1:10" x14ac:dyDescent="0.2">
      <c r="A1129" t="str">
        <f>"10/02/2022"</f>
        <v>10/02/2022</v>
      </c>
      <c r="B1129">
        <v>3</v>
      </c>
      <c r="C1129">
        <v>200000</v>
      </c>
      <c r="D1129">
        <v>468523</v>
      </c>
      <c r="E1129">
        <v>200000</v>
      </c>
      <c r="F1129">
        <v>200000</v>
      </c>
      <c r="G1129" s="1">
        <v>1E-3</v>
      </c>
      <c r="H1129" s="1">
        <v>1E-3</v>
      </c>
      <c r="I1129" s="1">
        <v>1E-3</v>
      </c>
      <c r="J1129" s="1">
        <v>0.40620000000000001</v>
      </c>
    </row>
    <row r="1130" spans="1:10" x14ac:dyDescent="0.2">
      <c r="A1130" t="str">
        <f>"09/02/2022"</f>
        <v>09/02/2022</v>
      </c>
      <c r="B1130">
        <v>1</v>
      </c>
      <c r="C1130">
        <v>199000</v>
      </c>
      <c r="D1130">
        <v>466280</v>
      </c>
      <c r="E1130">
        <v>199000</v>
      </c>
      <c r="F1130">
        <v>199000</v>
      </c>
      <c r="G1130" s="1">
        <v>1E-3</v>
      </c>
      <c r="H1130" s="1">
        <v>1E-3</v>
      </c>
      <c r="I1130" s="1">
        <v>1E-3</v>
      </c>
      <c r="J1130" s="1">
        <v>0.4022</v>
      </c>
    </row>
    <row r="1131" spans="1:10" x14ac:dyDescent="0.2">
      <c r="A1131" t="str">
        <f>"08/02/2022"</f>
        <v>08/02/2022</v>
      </c>
      <c r="B1131">
        <v>1</v>
      </c>
      <c r="C1131">
        <v>199000</v>
      </c>
      <c r="D1131">
        <v>462705</v>
      </c>
      <c r="E1131">
        <v>199000</v>
      </c>
      <c r="F1131">
        <v>199000</v>
      </c>
      <c r="G1131" s="1">
        <v>1E-3</v>
      </c>
      <c r="H1131" s="1">
        <v>1E-3</v>
      </c>
      <c r="I1131" s="1">
        <v>1E-3</v>
      </c>
      <c r="J1131" s="1">
        <v>0.4052</v>
      </c>
    </row>
    <row r="1132" spans="1:10" x14ac:dyDescent="0.2">
      <c r="A1132" t="str">
        <f>"07/02/2022"</f>
        <v>07/02/2022</v>
      </c>
      <c r="B1132">
        <v>1</v>
      </c>
      <c r="C1132">
        <v>200000</v>
      </c>
      <c r="D1132">
        <v>467203</v>
      </c>
      <c r="E1132">
        <v>200000</v>
      </c>
      <c r="F1132">
        <v>200000</v>
      </c>
      <c r="G1132" s="1">
        <v>1E-3</v>
      </c>
      <c r="H1132" s="1">
        <v>1E-3</v>
      </c>
      <c r="I1132" s="1">
        <v>1E-3</v>
      </c>
      <c r="J1132" s="1">
        <v>0.40239999999999998</v>
      </c>
    </row>
    <row r="1133" spans="1:10" x14ac:dyDescent="0.2">
      <c r="A1133" t="str">
        <f>"06/02/2022"</f>
        <v>06/02/2022</v>
      </c>
      <c r="B1133">
        <v>1</v>
      </c>
      <c r="C1133">
        <v>200000</v>
      </c>
      <c r="D1133">
        <v>464416</v>
      </c>
      <c r="E1133">
        <v>200000</v>
      </c>
      <c r="F1133">
        <v>200000</v>
      </c>
      <c r="G1133" s="1">
        <v>1E-3</v>
      </c>
      <c r="H1133" s="1">
        <v>1E-3</v>
      </c>
      <c r="I1133" s="1">
        <v>1E-3</v>
      </c>
      <c r="J1133" s="1">
        <v>0.40649999999999997</v>
      </c>
    </row>
    <row r="1134" spans="1:10" x14ac:dyDescent="0.2">
      <c r="A1134" t="str">
        <f>"03/02/2022"</f>
        <v>03/02/2022</v>
      </c>
      <c r="B1134">
        <v>3</v>
      </c>
      <c r="C1134">
        <v>201000</v>
      </c>
      <c r="D1134">
        <v>459555</v>
      </c>
      <c r="E1134">
        <v>201000</v>
      </c>
      <c r="F1134">
        <v>201000</v>
      </c>
      <c r="G1134" s="1">
        <v>1E-3</v>
      </c>
      <c r="H1134" s="1">
        <v>1E-3</v>
      </c>
      <c r="I1134" s="1">
        <v>1E-3</v>
      </c>
      <c r="J1134" s="1">
        <v>0.41460000000000002</v>
      </c>
    </row>
    <row r="1135" spans="1:10" x14ac:dyDescent="0.2">
      <c r="A1135" t="str">
        <f>"02/02/2022"</f>
        <v>02/02/2022</v>
      </c>
      <c r="B1135">
        <v>1</v>
      </c>
      <c r="C1135">
        <v>201000</v>
      </c>
      <c r="D1135">
        <v>466780</v>
      </c>
      <c r="E1135">
        <v>201000</v>
      </c>
      <c r="F1135">
        <v>201000</v>
      </c>
      <c r="G1135" s="1">
        <v>1E-3</v>
      </c>
      <c r="H1135" s="1">
        <v>1E-3</v>
      </c>
      <c r="I1135" s="1">
        <v>1E-3</v>
      </c>
      <c r="J1135" s="1">
        <v>0.40389999999999998</v>
      </c>
    </row>
    <row r="1136" spans="1:10" x14ac:dyDescent="0.2">
      <c r="A1136" t="str">
        <f>"01/02/2022"</f>
        <v>01/02/2022</v>
      </c>
      <c r="B1136">
        <v>1</v>
      </c>
      <c r="C1136">
        <v>206000</v>
      </c>
      <c r="D1136">
        <v>481500</v>
      </c>
      <c r="E1136">
        <v>206000</v>
      </c>
      <c r="F1136">
        <v>206000</v>
      </c>
      <c r="G1136" s="1">
        <v>1E-3</v>
      </c>
      <c r="H1136" s="1">
        <v>1E-3</v>
      </c>
      <c r="I1136" s="1">
        <v>1E-3</v>
      </c>
      <c r="J1136" s="1">
        <v>0.39979999999999999</v>
      </c>
    </row>
    <row r="1137" spans="1:10" x14ac:dyDescent="0.2">
      <c r="A1137" t="str">
        <f>"31/01/2022"</f>
        <v>31/01/2022</v>
      </c>
      <c r="B1137">
        <v>1</v>
      </c>
      <c r="C1137">
        <v>200000</v>
      </c>
      <c r="D1137">
        <v>462145</v>
      </c>
      <c r="E1137">
        <v>200000</v>
      </c>
      <c r="F1137">
        <v>200000</v>
      </c>
      <c r="G1137" s="1">
        <v>1E-3</v>
      </c>
      <c r="H1137" s="1">
        <v>1E-3</v>
      </c>
      <c r="I1137" s="1">
        <v>1E-3</v>
      </c>
      <c r="J1137" s="1">
        <v>0.4047</v>
      </c>
    </row>
    <row r="1138" spans="1:10" x14ac:dyDescent="0.2">
      <c r="A1138" t="str">
        <f>"30/01/2022"</f>
        <v>30/01/2022</v>
      </c>
      <c r="B1138">
        <v>1</v>
      </c>
      <c r="C1138">
        <v>183000</v>
      </c>
      <c r="D1138">
        <v>424795</v>
      </c>
      <c r="E1138">
        <v>183000</v>
      </c>
      <c r="F1138">
        <v>183000</v>
      </c>
      <c r="G1138" s="1">
        <v>1E-3</v>
      </c>
      <c r="H1138" s="1">
        <v>1E-3</v>
      </c>
      <c r="I1138" s="1">
        <v>1E-3</v>
      </c>
      <c r="J1138" s="1">
        <v>0.40389999999999998</v>
      </c>
    </row>
    <row r="1139" spans="1:10" x14ac:dyDescent="0.2">
      <c r="A1139" t="str">
        <f>"27/01/2022"</f>
        <v>27/01/2022</v>
      </c>
      <c r="B1139">
        <v>3</v>
      </c>
      <c r="C1139">
        <v>183000</v>
      </c>
      <c r="D1139">
        <v>419448</v>
      </c>
      <c r="E1139">
        <v>183000</v>
      </c>
      <c r="F1139">
        <v>183000</v>
      </c>
      <c r="G1139" s="1">
        <v>1E-3</v>
      </c>
      <c r="H1139" s="1">
        <v>1E-3</v>
      </c>
      <c r="I1139" s="1">
        <v>1E-3</v>
      </c>
      <c r="J1139" s="1">
        <v>0.41220000000000001</v>
      </c>
    </row>
    <row r="1140" spans="1:10" x14ac:dyDescent="0.2">
      <c r="A1140" t="str">
        <f>"26/01/2022"</f>
        <v>26/01/2022</v>
      </c>
      <c r="B1140">
        <v>1</v>
      </c>
      <c r="C1140">
        <v>178000</v>
      </c>
      <c r="D1140">
        <v>399988</v>
      </c>
      <c r="E1140">
        <v>178000</v>
      </c>
      <c r="F1140">
        <v>178000</v>
      </c>
      <c r="G1140" s="1">
        <v>1E-3</v>
      </c>
      <c r="H1140" s="1">
        <v>1E-3</v>
      </c>
      <c r="I1140" s="1">
        <v>1E-3</v>
      </c>
      <c r="J1140" s="1">
        <v>0.4199</v>
      </c>
    </row>
    <row r="1141" spans="1:10" x14ac:dyDescent="0.2">
      <c r="A1141" t="str">
        <f>"25/01/2022"</f>
        <v>25/01/2022</v>
      </c>
      <c r="B1141">
        <v>1</v>
      </c>
      <c r="C1141">
        <v>185000</v>
      </c>
      <c r="D1141">
        <v>413377</v>
      </c>
      <c r="E1141">
        <v>185000</v>
      </c>
      <c r="F1141">
        <v>185000</v>
      </c>
      <c r="G1141" s="1">
        <v>1E-3</v>
      </c>
      <c r="H1141" s="1">
        <v>1E-3</v>
      </c>
      <c r="I1141" s="1">
        <v>1E-3</v>
      </c>
      <c r="J1141" s="1">
        <v>0.42370000000000002</v>
      </c>
    </row>
    <row r="1142" spans="1:10" x14ac:dyDescent="0.2">
      <c r="A1142" t="str">
        <f>"24/01/2022"</f>
        <v>24/01/2022</v>
      </c>
      <c r="B1142">
        <v>1</v>
      </c>
      <c r="C1142">
        <v>189000</v>
      </c>
      <c r="D1142">
        <v>429832</v>
      </c>
      <c r="E1142">
        <v>189000</v>
      </c>
      <c r="F1142">
        <v>189000</v>
      </c>
      <c r="G1142" s="1">
        <v>1E-3</v>
      </c>
      <c r="H1142" s="1">
        <v>1E-3</v>
      </c>
      <c r="I1142" s="1">
        <v>1E-3</v>
      </c>
      <c r="J1142" s="1">
        <v>0.4143</v>
      </c>
    </row>
    <row r="1143" spans="1:10" x14ac:dyDescent="0.2">
      <c r="A1143" t="str">
        <f>"23/01/2022"</f>
        <v>23/01/2022</v>
      </c>
      <c r="B1143">
        <v>1</v>
      </c>
      <c r="C1143">
        <v>190000</v>
      </c>
      <c r="D1143">
        <v>433108</v>
      </c>
      <c r="E1143">
        <v>190000</v>
      </c>
      <c r="F1143">
        <v>190000</v>
      </c>
      <c r="G1143" s="1">
        <v>1E-3</v>
      </c>
      <c r="H1143" s="1">
        <v>1E-3</v>
      </c>
      <c r="I1143" s="1">
        <v>1E-3</v>
      </c>
      <c r="J1143" s="1">
        <v>0.41410000000000002</v>
      </c>
    </row>
    <row r="1144" spans="1:10" x14ac:dyDescent="0.2">
      <c r="A1144" t="str">
        <f>"20/01/2022"</f>
        <v>20/01/2022</v>
      </c>
      <c r="B1144">
        <v>3</v>
      </c>
      <c r="C1144">
        <v>195000</v>
      </c>
      <c r="D1144">
        <v>443420</v>
      </c>
      <c r="E1144">
        <v>195000</v>
      </c>
      <c r="F1144">
        <v>195000</v>
      </c>
      <c r="G1144" s="1">
        <v>1E-3</v>
      </c>
      <c r="H1144" s="1">
        <v>1E-3</v>
      </c>
      <c r="I1144" s="1">
        <v>1E-3</v>
      </c>
      <c r="J1144" s="1">
        <v>0.41839999999999999</v>
      </c>
    </row>
    <row r="1145" spans="1:10" x14ac:dyDescent="0.2">
      <c r="A1145" t="str">
        <f>"19/01/2022"</f>
        <v>19/01/2022</v>
      </c>
      <c r="B1145">
        <v>1</v>
      </c>
      <c r="C1145">
        <v>198000</v>
      </c>
      <c r="D1145">
        <v>449949</v>
      </c>
      <c r="E1145">
        <v>198000</v>
      </c>
      <c r="F1145">
        <v>198000</v>
      </c>
      <c r="G1145" s="1">
        <v>1E-3</v>
      </c>
      <c r="H1145" s="1">
        <v>1E-3</v>
      </c>
      <c r="I1145" s="1">
        <v>1E-3</v>
      </c>
      <c r="J1145" s="1">
        <v>0.41720000000000002</v>
      </c>
    </row>
    <row r="1146" spans="1:10" x14ac:dyDescent="0.2">
      <c r="A1146" t="str">
        <f>"18/01/2022"</f>
        <v>18/01/2022</v>
      </c>
      <c r="B1146">
        <v>1</v>
      </c>
      <c r="C1146">
        <v>200000</v>
      </c>
      <c r="D1146">
        <v>452089</v>
      </c>
      <c r="E1146">
        <v>200000</v>
      </c>
      <c r="F1146">
        <v>200000</v>
      </c>
      <c r="G1146" s="1">
        <v>1E-3</v>
      </c>
      <c r="H1146" s="1">
        <v>1E-3</v>
      </c>
      <c r="I1146" s="1">
        <v>1E-3</v>
      </c>
      <c r="J1146" s="1">
        <v>0.42059999999999997</v>
      </c>
    </row>
    <row r="1147" spans="1:10" x14ac:dyDescent="0.2">
      <c r="A1147" t="str">
        <f>"17/01/2022"</f>
        <v>17/01/2022</v>
      </c>
      <c r="B1147">
        <v>1</v>
      </c>
      <c r="C1147">
        <v>205000</v>
      </c>
      <c r="D1147">
        <v>461537</v>
      </c>
      <c r="E1147">
        <v>205000</v>
      </c>
      <c r="F1147">
        <v>205000</v>
      </c>
      <c r="G1147" s="1">
        <v>1E-3</v>
      </c>
      <c r="H1147" s="1">
        <v>1E-3</v>
      </c>
      <c r="I1147" s="1">
        <v>1E-3</v>
      </c>
      <c r="J1147" s="1">
        <v>0.4209</v>
      </c>
    </row>
    <row r="1148" spans="1:10" x14ac:dyDescent="0.2">
      <c r="A1148" t="str">
        <f>"16/01/2022"</f>
        <v>16/01/2022</v>
      </c>
      <c r="B1148">
        <v>1</v>
      </c>
      <c r="C1148">
        <v>211000</v>
      </c>
      <c r="D1148">
        <v>485832</v>
      </c>
      <c r="E1148">
        <v>211000</v>
      </c>
      <c r="F1148">
        <v>211000</v>
      </c>
      <c r="G1148" s="1">
        <v>1E-3</v>
      </c>
      <c r="H1148" s="1">
        <v>1E-3</v>
      </c>
      <c r="I1148" s="1">
        <v>1E-3</v>
      </c>
      <c r="J1148" s="1">
        <v>0.41060000000000002</v>
      </c>
    </row>
    <row r="1149" spans="1:10" x14ac:dyDescent="0.2">
      <c r="A1149" t="str">
        <f>"13/01/2022"</f>
        <v>13/01/2022</v>
      </c>
      <c r="B1149">
        <v>3</v>
      </c>
      <c r="C1149">
        <v>214000</v>
      </c>
      <c r="D1149">
        <v>497112</v>
      </c>
      <c r="E1149">
        <v>214000</v>
      </c>
      <c r="F1149">
        <v>214000</v>
      </c>
      <c r="G1149" s="1">
        <v>1E-3</v>
      </c>
      <c r="H1149" s="1">
        <v>1E-3</v>
      </c>
      <c r="I1149" s="1">
        <v>1E-3</v>
      </c>
      <c r="J1149" s="1">
        <v>0.40939999999999999</v>
      </c>
    </row>
    <row r="1150" spans="1:10" x14ac:dyDescent="0.2">
      <c r="A1150" t="str">
        <f>"12/01/2022"</f>
        <v>12/01/2022</v>
      </c>
      <c r="B1150">
        <v>1</v>
      </c>
      <c r="C1150">
        <v>217000</v>
      </c>
      <c r="D1150">
        <v>506099</v>
      </c>
      <c r="E1150">
        <v>217000</v>
      </c>
      <c r="F1150">
        <v>217000</v>
      </c>
      <c r="G1150" s="1">
        <v>1E-3</v>
      </c>
      <c r="H1150" s="1">
        <v>1E-3</v>
      </c>
      <c r="I1150" s="1">
        <v>1E-3</v>
      </c>
      <c r="J1150" s="1">
        <v>0.40510000000000002</v>
      </c>
    </row>
    <row r="1151" spans="1:10" x14ac:dyDescent="0.2">
      <c r="A1151" t="str">
        <f>"11/01/2022"</f>
        <v>11/01/2022</v>
      </c>
      <c r="B1151">
        <v>1</v>
      </c>
      <c r="C1151">
        <v>216000</v>
      </c>
      <c r="D1151">
        <v>502108</v>
      </c>
      <c r="E1151">
        <v>216000</v>
      </c>
      <c r="F1151">
        <v>216000</v>
      </c>
      <c r="G1151" s="1">
        <v>1E-3</v>
      </c>
      <c r="H1151" s="1">
        <v>1E-3</v>
      </c>
      <c r="I1151" s="1">
        <v>1E-3</v>
      </c>
      <c r="J1151" s="1">
        <v>0.40639999999999998</v>
      </c>
    </row>
    <row r="1152" spans="1:10" x14ac:dyDescent="0.2">
      <c r="A1152" t="str">
        <f>"10/01/2022"</f>
        <v>10/01/2022</v>
      </c>
      <c r="B1152">
        <v>1</v>
      </c>
      <c r="C1152">
        <v>217000</v>
      </c>
      <c r="D1152">
        <v>504388</v>
      </c>
      <c r="E1152">
        <v>217000</v>
      </c>
      <c r="F1152">
        <v>217000</v>
      </c>
      <c r="G1152" s="1">
        <v>1E-3</v>
      </c>
      <c r="H1152" s="1">
        <v>1E-3</v>
      </c>
      <c r="I1152" s="1">
        <v>1E-3</v>
      </c>
      <c r="J1152" s="1">
        <v>0.40579999999999999</v>
      </c>
    </row>
    <row r="1153" spans="1:10" x14ac:dyDescent="0.2">
      <c r="A1153" t="str">
        <f>"09/01/2022"</f>
        <v>09/01/2022</v>
      </c>
      <c r="B1153">
        <v>1</v>
      </c>
      <c r="C1153">
        <v>217000</v>
      </c>
      <c r="D1153">
        <v>504017</v>
      </c>
      <c r="E1153">
        <v>217000</v>
      </c>
      <c r="F1153">
        <v>217000</v>
      </c>
      <c r="G1153" s="1">
        <v>1E-3</v>
      </c>
      <c r="H1153" s="1">
        <v>1E-3</v>
      </c>
      <c r="I1153" s="1">
        <v>1E-3</v>
      </c>
      <c r="J1153" s="1">
        <v>0.40749999999999997</v>
      </c>
    </row>
    <row r="1154" spans="1:10" x14ac:dyDescent="0.2">
      <c r="A1154" t="str">
        <f>"06/01/2022"</f>
        <v>06/01/2022</v>
      </c>
      <c r="B1154">
        <v>3</v>
      </c>
      <c r="C1154">
        <v>219000</v>
      </c>
      <c r="D1154">
        <v>498920</v>
      </c>
      <c r="E1154">
        <v>219000</v>
      </c>
      <c r="F1154">
        <v>219000</v>
      </c>
      <c r="G1154" s="1">
        <v>1E-3</v>
      </c>
      <c r="H1154" s="1">
        <v>1E-3</v>
      </c>
      <c r="I1154" s="1">
        <v>1E-3</v>
      </c>
      <c r="J1154" s="1">
        <v>0.4173</v>
      </c>
    </row>
    <row r="1155" spans="1:10" x14ac:dyDescent="0.2">
      <c r="A1155" t="str">
        <f>"05/01/2022"</f>
        <v>05/01/2022</v>
      </c>
      <c r="B1155">
        <v>1</v>
      </c>
      <c r="C1155">
        <v>215000</v>
      </c>
      <c r="D1155">
        <v>203107</v>
      </c>
      <c r="E1155">
        <v>203107</v>
      </c>
      <c r="F1155">
        <v>203107</v>
      </c>
      <c r="G1155" s="1">
        <v>1E-3</v>
      </c>
      <c r="H1155" s="1">
        <v>1E-3</v>
      </c>
      <c r="I1155" s="1">
        <v>1E-3</v>
      </c>
      <c r="J1155" s="1">
        <v>1</v>
      </c>
    </row>
    <row r="1156" spans="1:10" x14ac:dyDescent="0.2">
      <c r="A1156" t="str">
        <f>"04/01/2022"</f>
        <v>04/01/2022</v>
      </c>
      <c r="B1156">
        <v>1</v>
      </c>
      <c r="C1156">
        <v>231000</v>
      </c>
      <c r="D1156">
        <v>555900</v>
      </c>
      <c r="E1156">
        <v>231000</v>
      </c>
      <c r="F1156">
        <v>231000</v>
      </c>
      <c r="G1156" s="1">
        <v>1E-3</v>
      </c>
      <c r="H1156" s="1">
        <v>1E-3</v>
      </c>
      <c r="I1156" s="1">
        <v>1E-3</v>
      </c>
      <c r="J1156" s="1">
        <v>0.39589999999999997</v>
      </c>
    </row>
    <row r="1157" spans="1:10" x14ac:dyDescent="0.2">
      <c r="A1157" t="str">
        <f>"03/01/2022"</f>
        <v>03/01/2022</v>
      </c>
      <c r="B1157">
        <v>1</v>
      </c>
      <c r="C1157">
        <v>228000</v>
      </c>
      <c r="D1157">
        <v>546828</v>
      </c>
      <c r="E1157">
        <v>228000</v>
      </c>
      <c r="F1157">
        <v>228000</v>
      </c>
      <c r="G1157" s="1">
        <v>1E-3</v>
      </c>
      <c r="H1157" s="1">
        <v>1E-3</v>
      </c>
      <c r="I1157" s="1">
        <v>1E-3</v>
      </c>
      <c r="J1157" s="1">
        <v>0.39679999999999999</v>
      </c>
    </row>
    <row r="1158" spans="1:10" x14ac:dyDescent="0.2">
      <c r="A1158" t="str">
        <f>"02/01/2022"</f>
        <v>02/01/2022</v>
      </c>
      <c r="B1158">
        <v>1</v>
      </c>
      <c r="C1158">
        <v>231000</v>
      </c>
      <c r="D1158">
        <v>532881</v>
      </c>
      <c r="E1158">
        <v>231000</v>
      </c>
      <c r="F1158">
        <v>231000</v>
      </c>
      <c r="G1158" s="1">
        <v>1E-3</v>
      </c>
      <c r="H1158" s="1">
        <v>1E-3</v>
      </c>
      <c r="I1158" s="1">
        <v>1E-3</v>
      </c>
      <c r="J1158" s="1">
        <v>0.41610000000000003</v>
      </c>
    </row>
    <row r="1159" spans="1:10" x14ac:dyDescent="0.2">
      <c r="A1159" t="str">
        <f>"30/12/2021"</f>
        <v>30/12/2021</v>
      </c>
      <c r="B1159">
        <v>3</v>
      </c>
      <c r="C1159">
        <v>229000</v>
      </c>
      <c r="D1159">
        <v>525880</v>
      </c>
      <c r="E1159">
        <v>229000</v>
      </c>
      <c r="F1159">
        <v>229000</v>
      </c>
      <c r="G1159" s="1">
        <v>1E-3</v>
      </c>
      <c r="H1159" s="1">
        <v>1E-3</v>
      </c>
      <c r="I1159" s="1">
        <v>1E-3</v>
      </c>
      <c r="J1159" s="1">
        <v>0.41909999999999997</v>
      </c>
    </row>
    <row r="1160" spans="1:10" x14ac:dyDescent="0.2">
      <c r="A1160" t="str">
        <f>"29/12/2021"</f>
        <v>29/12/2021</v>
      </c>
      <c r="B1160">
        <v>1</v>
      </c>
      <c r="C1160">
        <v>221000</v>
      </c>
      <c r="D1160">
        <v>511393</v>
      </c>
      <c r="E1160">
        <v>221000</v>
      </c>
      <c r="F1160">
        <v>221000</v>
      </c>
      <c r="G1160" s="1">
        <v>1E-3</v>
      </c>
      <c r="H1160" s="1">
        <v>1E-3</v>
      </c>
      <c r="I1160" s="1">
        <v>1E-3</v>
      </c>
      <c r="J1160" s="1">
        <v>0.41520000000000001</v>
      </c>
    </row>
    <row r="1161" spans="1:10" x14ac:dyDescent="0.2">
      <c r="A1161" t="str">
        <f>"28/12/2021"</f>
        <v>28/12/2021</v>
      </c>
      <c r="B1161">
        <v>1</v>
      </c>
      <c r="C1161">
        <v>217000</v>
      </c>
      <c r="D1161">
        <v>498200</v>
      </c>
      <c r="E1161">
        <v>217000</v>
      </c>
      <c r="F1161">
        <v>217000</v>
      </c>
      <c r="G1161" s="1">
        <v>1E-3</v>
      </c>
      <c r="H1161" s="1">
        <v>1E-3</v>
      </c>
      <c r="I1161" s="1">
        <v>1E-3</v>
      </c>
      <c r="J1161" s="1">
        <v>0.41770000000000002</v>
      </c>
    </row>
    <row r="1162" spans="1:10" x14ac:dyDescent="0.2">
      <c r="A1162" t="str">
        <f>"27/12/2021"</f>
        <v>27/12/2021</v>
      </c>
      <c r="B1162">
        <v>1</v>
      </c>
      <c r="C1162">
        <v>215000</v>
      </c>
      <c r="D1162">
        <v>495620</v>
      </c>
      <c r="E1162">
        <v>215000</v>
      </c>
      <c r="F1162">
        <v>215000</v>
      </c>
      <c r="G1162" s="1">
        <v>1E-3</v>
      </c>
      <c r="H1162" s="1">
        <v>1E-3</v>
      </c>
      <c r="I1162" s="1">
        <v>1E-3</v>
      </c>
      <c r="J1162" s="1">
        <v>0.41420000000000001</v>
      </c>
    </row>
    <row r="1163" spans="1:10" x14ac:dyDescent="0.2">
      <c r="A1163" t="str">
        <f>"26/12/2021"</f>
        <v>26/12/2021</v>
      </c>
      <c r="B1163">
        <v>1</v>
      </c>
      <c r="C1163">
        <v>214000</v>
      </c>
      <c r="D1163">
        <v>494880</v>
      </c>
      <c r="E1163">
        <v>214000</v>
      </c>
      <c r="F1163">
        <v>214000</v>
      </c>
      <c r="G1163" s="1">
        <v>1E-3</v>
      </c>
      <c r="H1163" s="1">
        <v>1E-3</v>
      </c>
      <c r="I1163" s="1">
        <v>1E-3</v>
      </c>
      <c r="J1163" s="1">
        <v>0.41399999999999998</v>
      </c>
    </row>
    <row r="1164" spans="1:10" x14ac:dyDescent="0.2">
      <c r="A1164" t="str">
        <f>"23/12/2021"</f>
        <v>23/12/2021</v>
      </c>
      <c r="B1164">
        <v>3</v>
      </c>
      <c r="C1164">
        <v>215000</v>
      </c>
      <c r="D1164">
        <v>494959</v>
      </c>
      <c r="E1164">
        <v>215000</v>
      </c>
      <c r="F1164">
        <v>215000</v>
      </c>
      <c r="G1164" s="1">
        <v>1E-3</v>
      </c>
      <c r="H1164" s="1">
        <v>1E-3</v>
      </c>
      <c r="I1164" s="1">
        <v>1E-3</v>
      </c>
      <c r="J1164" s="1">
        <v>0.41670000000000001</v>
      </c>
    </row>
    <row r="1165" spans="1:10" x14ac:dyDescent="0.2">
      <c r="A1165" t="str">
        <f>"22/12/2021"</f>
        <v>22/12/2021</v>
      </c>
      <c r="B1165">
        <v>1</v>
      </c>
      <c r="C1165">
        <v>214000</v>
      </c>
      <c r="D1165">
        <v>497721</v>
      </c>
      <c r="E1165">
        <v>214000</v>
      </c>
      <c r="F1165">
        <v>214000</v>
      </c>
      <c r="G1165" s="1">
        <v>1E-3</v>
      </c>
      <c r="H1165" s="1">
        <v>1E-3</v>
      </c>
      <c r="I1165" s="1">
        <v>1E-3</v>
      </c>
      <c r="J1165" s="1">
        <v>0.41160000000000002</v>
      </c>
    </row>
    <row r="1166" spans="1:10" x14ac:dyDescent="0.2">
      <c r="A1166" t="str">
        <f>"21/12/2021"</f>
        <v>21/12/2021</v>
      </c>
      <c r="B1166">
        <v>1</v>
      </c>
      <c r="C1166">
        <v>203000</v>
      </c>
      <c r="D1166">
        <v>474740</v>
      </c>
      <c r="E1166">
        <v>203000</v>
      </c>
      <c r="F1166">
        <v>203000</v>
      </c>
      <c r="G1166" s="1">
        <v>1E-3</v>
      </c>
      <c r="H1166" s="1">
        <v>1E-3</v>
      </c>
      <c r="I1166" s="1">
        <v>1E-3</v>
      </c>
      <c r="J1166" s="1">
        <v>0.40839999999999999</v>
      </c>
    </row>
    <row r="1167" spans="1:10" x14ac:dyDescent="0.2">
      <c r="A1167" t="str">
        <f>"20/12/2021"</f>
        <v>20/12/2021</v>
      </c>
      <c r="B1167">
        <v>1</v>
      </c>
      <c r="C1167">
        <v>206000</v>
      </c>
      <c r="D1167">
        <v>482266</v>
      </c>
      <c r="E1167">
        <v>206000</v>
      </c>
      <c r="F1167">
        <v>206000</v>
      </c>
      <c r="G1167" s="1">
        <v>1E-3</v>
      </c>
      <c r="H1167" s="1">
        <v>1E-3</v>
      </c>
      <c r="I1167" s="1">
        <v>1E-3</v>
      </c>
      <c r="J1167" s="1">
        <v>0.40670000000000001</v>
      </c>
    </row>
    <row r="1168" spans="1:10" x14ac:dyDescent="0.2">
      <c r="A1168" t="str">
        <f>"19/12/2021"</f>
        <v>19/12/2021</v>
      </c>
      <c r="B1168">
        <v>1</v>
      </c>
      <c r="C1168">
        <v>206000</v>
      </c>
      <c r="D1168">
        <v>481709</v>
      </c>
      <c r="E1168">
        <v>206000</v>
      </c>
      <c r="F1168">
        <v>206000</v>
      </c>
      <c r="G1168" s="1">
        <v>1E-3</v>
      </c>
      <c r="H1168" s="1">
        <v>1E-3</v>
      </c>
      <c r="I1168" s="1">
        <v>1E-3</v>
      </c>
      <c r="J1168" s="1">
        <v>0.4078</v>
      </c>
    </row>
    <row r="1169" spans="1:10" x14ac:dyDescent="0.2">
      <c r="A1169" t="str">
        <f>"16/12/2021"</f>
        <v>16/12/2021</v>
      </c>
      <c r="B1169">
        <v>3</v>
      </c>
      <c r="C1169">
        <v>207000</v>
      </c>
      <c r="D1169">
        <v>487326</v>
      </c>
      <c r="E1169">
        <v>207000</v>
      </c>
      <c r="F1169">
        <v>207000</v>
      </c>
      <c r="G1169" s="1">
        <v>1E-3</v>
      </c>
      <c r="H1169" s="1">
        <v>1E-3</v>
      </c>
      <c r="I1169" s="1">
        <v>1E-3</v>
      </c>
      <c r="J1169" s="1">
        <v>0.40550000000000003</v>
      </c>
    </row>
    <row r="1170" spans="1:10" x14ac:dyDescent="0.2">
      <c r="A1170" t="str">
        <f>"15/12/2021"</f>
        <v>15/12/2021</v>
      </c>
      <c r="B1170">
        <v>1</v>
      </c>
      <c r="C1170">
        <v>215000</v>
      </c>
      <c r="D1170">
        <v>497970</v>
      </c>
      <c r="E1170">
        <v>215000</v>
      </c>
      <c r="F1170">
        <v>215000</v>
      </c>
      <c r="G1170" s="1">
        <v>1E-3</v>
      </c>
      <c r="H1170" s="1">
        <v>1E-3</v>
      </c>
      <c r="I1170" s="1">
        <v>1E-3</v>
      </c>
      <c r="J1170" s="1">
        <v>0.41039999999999999</v>
      </c>
    </row>
    <row r="1171" spans="1:10" x14ac:dyDescent="0.2">
      <c r="A1171" t="str">
        <f>"14/12/2021"</f>
        <v>14/12/2021</v>
      </c>
      <c r="B1171">
        <v>1</v>
      </c>
      <c r="C1171">
        <v>216000</v>
      </c>
      <c r="D1171">
        <v>502640</v>
      </c>
      <c r="E1171">
        <v>216000</v>
      </c>
      <c r="F1171">
        <v>216000</v>
      </c>
      <c r="G1171" s="1">
        <v>1E-3</v>
      </c>
      <c r="H1171" s="1">
        <v>1E-3</v>
      </c>
      <c r="I1171" s="1">
        <v>1E-3</v>
      </c>
      <c r="J1171" s="1">
        <v>0.40679999999999999</v>
      </c>
    </row>
    <row r="1172" spans="1:10" x14ac:dyDescent="0.2">
      <c r="A1172" t="str">
        <f>"13/12/2021"</f>
        <v>13/12/2021</v>
      </c>
      <c r="B1172">
        <v>1</v>
      </c>
      <c r="C1172">
        <v>215000</v>
      </c>
      <c r="D1172">
        <v>505919</v>
      </c>
      <c r="E1172">
        <v>215000</v>
      </c>
      <c r="F1172">
        <v>215000</v>
      </c>
      <c r="G1172" s="1">
        <v>1E-3</v>
      </c>
      <c r="H1172" s="1">
        <v>1E-3</v>
      </c>
      <c r="I1172" s="1">
        <v>1E-3</v>
      </c>
      <c r="J1172" s="1">
        <v>0.40289999999999998</v>
      </c>
    </row>
    <row r="1173" spans="1:10" x14ac:dyDescent="0.2">
      <c r="A1173" t="str">
        <f>"12/12/2021"</f>
        <v>12/12/2021</v>
      </c>
      <c r="B1173">
        <v>1</v>
      </c>
      <c r="C1173">
        <v>215000</v>
      </c>
      <c r="D1173">
        <v>506775</v>
      </c>
      <c r="E1173">
        <v>215000</v>
      </c>
      <c r="F1173">
        <v>215000</v>
      </c>
      <c r="G1173" s="1">
        <v>1E-3</v>
      </c>
      <c r="H1173" s="1">
        <v>1E-3</v>
      </c>
      <c r="I1173" s="1">
        <v>1E-3</v>
      </c>
      <c r="J1173" s="1">
        <v>0.40279999999999999</v>
      </c>
    </row>
    <row r="1174" spans="1:10" x14ac:dyDescent="0.2">
      <c r="A1174" t="str">
        <f>"09/12/2021"</f>
        <v>09/12/2021</v>
      </c>
      <c r="B1174">
        <v>3</v>
      </c>
      <c r="C1174">
        <v>215000</v>
      </c>
      <c r="D1174">
        <v>509120</v>
      </c>
      <c r="E1174">
        <v>215000</v>
      </c>
      <c r="F1174">
        <v>215000</v>
      </c>
      <c r="G1174" s="1">
        <v>1E-3</v>
      </c>
      <c r="H1174" s="1">
        <v>1E-3</v>
      </c>
      <c r="I1174" s="1">
        <v>1E-3</v>
      </c>
      <c r="J1174" s="1">
        <v>0.4022</v>
      </c>
    </row>
    <row r="1175" spans="1:10" x14ac:dyDescent="0.2">
      <c r="A1175" t="str">
        <f>"08/12/2021"</f>
        <v>08/12/2021</v>
      </c>
      <c r="B1175">
        <v>1</v>
      </c>
      <c r="C1175">
        <v>216000</v>
      </c>
      <c r="D1175">
        <v>519571</v>
      </c>
      <c r="E1175">
        <v>216000</v>
      </c>
      <c r="F1175">
        <v>216000</v>
      </c>
      <c r="G1175" s="1">
        <v>1E-3</v>
      </c>
      <c r="H1175" s="1">
        <v>1E-3</v>
      </c>
      <c r="I1175" s="1">
        <v>1E-3</v>
      </c>
      <c r="J1175" s="1">
        <v>0.39500000000000002</v>
      </c>
    </row>
    <row r="1176" spans="1:10" x14ac:dyDescent="0.2">
      <c r="A1176" t="str">
        <f>"07/12/2021"</f>
        <v>07/12/2021</v>
      </c>
      <c r="B1176">
        <v>1</v>
      </c>
      <c r="C1176">
        <v>217000</v>
      </c>
      <c r="D1176">
        <v>524120</v>
      </c>
      <c r="E1176">
        <v>217000</v>
      </c>
      <c r="F1176">
        <v>217000</v>
      </c>
      <c r="G1176" s="1">
        <v>1E-3</v>
      </c>
      <c r="H1176" s="1">
        <v>1E-3</v>
      </c>
      <c r="I1176" s="1">
        <v>1E-3</v>
      </c>
      <c r="J1176" s="1">
        <v>0.3926</v>
      </c>
    </row>
    <row r="1177" spans="1:10" x14ac:dyDescent="0.2">
      <c r="A1177" t="str">
        <f>"06/12/2021"</f>
        <v>06/12/2021</v>
      </c>
      <c r="B1177">
        <v>1</v>
      </c>
      <c r="C1177">
        <v>217000</v>
      </c>
      <c r="D1177">
        <v>522643</v>
      </c>
      <c r="E1177">
        <v>217000</v>
      </c>
      <c r="F1177">
        <v>217000</v>
      </c>
      <c r="G1177" s="1">
        <v>1E-3</v>
      </c>
      <c r="H1177" s="1">
        <v>1E-3</v>
      </c>
      <c r="I1177" s="1">
        <v>1E-3</v>
      </c>
      <c r="J1177" s="1">
        <v>0.39100000000000001</v>
      </c>
    </row>
    <row r="1178" spans="1:10" x14ac:dyDescent="0.2">
      <c r="A1178" t="str">
        <f>"05/12/2021"</f>
        <v>05/12/2021</v>
      </c>
      <c r="B1178">
        <v>1</v>
      </c>
      <c r="C1178">
        <v>215000</v>
      </c>
      <c r="D1178">
        <v>524650</v>
      </c>
      <c r="E1178">
        <v>215000</v>
      </c>
      <c r="F1178">
        <v>215000</v>
      </c>
      <c r="G1178" s="1">
        <v>1E-3</v>
      </c>
      <c r="H1178" s="1">
        <v>1E-3</v>
      </c>
      <c r="I1178" s="1">
        <v>1E-3</v>
      </c>
      <c r="J1178" s="1">
        <v>0.38750000000000001</v>
      </c>
    </row>
    <row r="1179" spans="1:10" x14ac:dyDescent="0.2">
      <c r="A1179" t="str">
        <f>"02/12/2021"</f>
        <v>02/12/2021</v>
      </c>
      <c r="B1179">
        <v>3</v>
      </c>
      <c r="C1179">
        <v>219000</v>
      </c>
      <c r="D1179">
        <v>523490</v>
      </c>
      <c r="E1179">
        <v>219000</v>
      </c>
      <c r="F1179">
        <v>219000</v>
      </c>
      <c r="G1179" s="1">
        <v>1E-3</v>
      </c>
      <c r="H1179" s="1">
        <v>1E-3</v>
      </c>
      <c r="I1179" s="1">
        <v>1E-3</v>
      </c>
      <c r="J1179" s="1">
        <v>0.3972</v>
      </c>
    </row>
    <row r="1180" spans="1:10" x14ac:dyDescent="0.2">
      <c r="A1180" t="str">
        <f>"01/12/2021"</f>
        <v>01/12/2021</v>
      </c>
      <c r="B1180">
        <v>1</v>
      </c>
      <c r="C1180">
        <v>220000</v>
      </c>
      <c r="D1180">
        <v>536928</v>
      </c>
      <c r="E1180">
        <v>220000</v>
      </c>
      <c r="F1180">
        <v>220000</v>
      </c>
      <c r="G1180" s="1">
        <v>1E-3</v>
      </c>
      <c r="H1180" s="1">
        <v>1E-3</v>
      </c>
      <c r="I1180" s="1">
        <v>1E-3</v>
      </c>
      <c r="J1180" s="1">
        <v>0.3821</v>
      </c>
    </row>
    <row r="1181" spans="1:10" x14ac:dyDescent="0.2">
      <c r="A1181" t="str">
        <f>"30/11/2021"</f>
        <v>30/11/2021</v>
      </c>
      <c r="B1181">
        <v>1</v>
      </c>
      <c r="C1181">
        <v>212000</v>
      </c>
      <c r="D1181">
        <v>511120</v>
      </c>
      <c r="E1181">
        <v>212000</v>
      </c>
      <c r="F1181">
        <v>212000</v>
      </c>
      <c r="G1181" s="1">
        <v>1E-3</v>
      </c>
      <c r="H1181" s="1">
        <v>1E-3</v>
      </c>
      <c r="I1181" s="1">
        <v>1E-3</v>
      </c>
      <c r="J1181" s="1">
        <v>0.38879999999999998</v>
      </c>
    </row>
    <row r="1182" spans="1:10" x14ac:dyDescent="0.2">
      <c r="A1182" t="str">
        <f>"29/11/2021"</f>
        <v>29/11/2021</v>
      </c>
      <c r="B1182">
        <v>1</v>
      </c>
      <c r="C1182">
        <v>192000</v>
      </c>
      <c r="D1182">
        <v>449302</v>
      </c>
      <c r="E1182">
        <v>192000</v>
      </c>
      <c r="F1182">
        <v>192000</v>
      </c>
      <c r="G1182" s="1">
        <v>1E-3</v>
      </c>
      <c r="H1182" s="1">
        <v>1E-3</v>
      </c>
      <c r="I1182" s="1">
        <v>1E-3</v>
      </c>
      <c r="J1182" s="1">
        <v>0.40570000000000001</v>
      </c>
    </row>
    <row r="1183" spans="1:10" x14ac:dyDescent="0.2">
      <c r="A1183" t="str">
        <f>"28/11/2021"</f>
        <v>28/11/2021</v>
      </c>
      <c r="B1183">
        <v>1</v>
      </c>
      <c r="C1183">
        <v>187000</v>
      </c>
      <c r="D1183">
        <v>421405</v>
      </c>
      <c r="E1183">
        <v>187000</v>
      </c>
      <c r="F1183">
        <v>187000</v>
      </c>
      <c r="G1183" s="1">
        <v>1E-3</v>
      </c>
      <c r="H1183" s="1">
        <v>1E-3</v>
      </c>
      <c r="I1183" s="1">
        <v>1E-3</v>
      </c>
      <c r="J1183" s="1">
        <v>0.42070000000000002</v>
      </c>
    </row>
    <row r="1184" spans="1:10" x14ac:dyDescent="0.2">
      <c r="A1184" t="str">
        <f>"25/11/2021"</f>
        <v>25/11/2021</v>
      </c>
      <c r="B1184">
        <v>3</v>
      </c>
      <c r="C1184">
        <v>182000</v>
      </c>
      <c r="D1184">
        <v>405545</v>
      </c>
      <c r="E1184">
        <v>182000</v>
      </c>
      <c r="F1184">
        <v>182000</v>
      </c>
      <c r="G1184" s="1">
        <v>1E-3</v>
      </c>
      <c r="H1184" s="1">
        <v>1E-3</v>
      </c>
      <c r="I1184" s="1">
        <v>1E-3</v>
      </c>
      <c r="J1184" s="1">
        <v>0.42580000000000001</v>
      </c>
    </row>
    <row r="1185" spans="1:10" x14ac:dyDescent="0.2">
      <c r="A1185" t="str">
        <f>"24/11/2021"</f>
        <v>24/11/2021</v>
      </c>
      <c r="B1185">
        <v>1</v>
      </c>
      <c r="C1185">
        <v>176000</v>
      </c>
      <c r="D1185">
        <v>169190</v>
      </c>
      <c r="E1185">
        <v>169190</v>
      </c>
      <c r="F1185">
        <v>169190</v>
      </c>
      <c r="G1185" s="1">
        <v>1E-3</v>
      </c>
      <c r="H1185" s="1">
        <v>1E-3</v>
      </c>
      <c r="I1185" s="1">
        <v>1E-3</v>
      </c>
      <c r="J1185" s="1">
        <v>1</v>
      </c>
    </row>
    <row r="1186" spans="1:10" x14ac:dyDescent="0.2">
      <c r="A1186" t="str">
        <f>"23/11/2021"</f>
        <v>23/11/2021</v>
      </c>
      <c r="B1186">
        <v>1</v>
      </c>
      <c r="C1186">
        <v>176000</v>
      </c>
      <c r="D1186">
        <v>355420</v>
      </c>
      <c r="E1186">
        <v>176000</v>
      </c>
      <c r="F1186">
        <v>176000</v>
      </c>
      <c r="G1186" s="1">
        <v>1E-3</v>
      </c>
      <c r="H1186" s="1">
        <v>1E-3</v>
      </c>
      <c r="I1186" s="1">
        <v>1E-3</v>
      </c>
      <c r="J1186" s="1">
        <v>0.47220000000000001</v>
      </c>
    </row>
    <row r="1187" spans="1:10" x14ac:dyDescent="0.2">
      <c r="A1187" t="str">
        <f>"22/11/2021"</f>
        <v>22/11/2021</v>
      </c>
      <c r="B1187">
        <v>1</v>
      </c>
      <c r="C1187">
        <v>178000</v>
      </c>
      <c r="D1187">
        <v>375431</v>
      </c>
      <c r="E1187">
        <v>178000</v>
      </c>
      <c r="F1187">
        <v>178000</v>
      </c>
      <c r="G1187" s="1">
        <v>1E-3</v>
      </c>
      <c r="H1187" s="1">
        <v>1E-3</v>
      </c>
      <c r="I1187" s="1">
        <v>1E-3</v>
      </c>
      <c r="J1187" s="1">
        <v>0.44669999999999999</v>
      </c>
    </row>
    <row r="1188" spans="1:10" x14ac:dyDescent="0.2">
      <c r="A1188" t="str">
        <f>"21/11/2021"</f>
        <v>21/11/2021</v>
      </c>
      <c r="B1188">
        <v>1</v>
      </c>
      <c r="C1188">
        <v>180000</v>
      </c>
      <c r="D1188">
        <v>375889</v>
      </c>
      <c r="E1188">
        <v>180000</v>
      </c>
      <c r="F1188">
        <v>180000</v>
      </c>
      <c r="G1188" s="1">
        <v>1E-3</v>
      </c>
      <c r="H1188" s="1">
        <v>1E-3</v>
      </c>
      <c r="I1188" s="1">
        <v>1E-3</v>
      </c>
      <c r="J1188" s="1">
        <v>0.45390000000000003</v>
      </c>
    </row>
    <row r="1189" spans="1:10" x14ac:dyDescent="0.2">
      <c r="A1189" t="str">
        <f>"18/11/2021"</f>
        <v>18/11/2021</v>
      </c>
      <c r="B1189">
        <v>3</v>
      </c>
      <c r="C1189">
        <v>187000</v>
      </c>
      <c r="D1189">
        <v>398538</v>
      </c>
      <c r="E1189">
        <v>187000</v>
      </c>
      <c r="F1189">
        <v>187000</v>
      </c>
      <c r="G1189" s="1">
        <v>1E-3</v>
      </c>
      <c r="H1189" s="1">
        <v>1E-3</v>
      </c>
      <c r="I1189" s="1">
        <v>1E-3</v>
      </c>
      <c r="J1189" s="1">
        <v>0.44740000000000002</v>
      </c>
    </row>
    <row r="1190" spans="1:10" x14ac:dyDescent="0.2">
      <c r="A1190" t="str">
        <f>"17/11/2021"</f>
        <v>17/11/2021</v>
      </c>
      <c r="B1190">
        <v>1</v>
      </c>
      <c r="C1190">
        <v>187000</v>
      </c>
      <c r="D1190">
        <v>431614</v>
      </c>
      <c r="E1190">
        <v>187000</v>
      </c>
      <c r="F1190">
        <v>187000</v>
      </c>
      <c r="G1190" s="1">
        <v>1E-3</v>
      </c>
      <c r="H1190" s="1">
        <v>1E-3</v>
      </c>
      <c r="I1190" s="1">
        <v>1E-3</v>
      </c>
      <c r="J1190" s="1">
        <v>0.41499999999999998</v>
      </c>
    </row>
    <row r="1191" spans="1:10" x14ac:dyDescent="0.2">
      <c r="A1191" t="str">
        <f>"16/11/2021"</f>
        <v>16/11/2021</v>
      </c>
      <c r="B1191">
        <v>1</v>
      </c>
      <c r="C1191">
        <v>188000</v>
      </c>
      <c r="D1191">
        <v>430540</v>
      </c>
      <c r="E1191">
        <v>188000</v>
      </c>
      <c r="F1191">
        <v>188000</v>
      </c>
      <c r="G1191" s="1">
        <v>1E-3</v>
      </c>
      <c r="H1191" s="1">
        <v>1E-3</v>
      </c>
      <c r="I1191" s="1">
        <v>1E-3</v>
      </c>
      <c r="J1191" s="1">
        <v>0.41830000000000001</v>
      </c>
    </row>
    <row r="1192" spans="1:10" x14ac:dyDescent="0.2">
      <c r="A1192" t="str">
        <f>"15/11/2021"</f>
        <v>15/11/2021</v>
      </c>
      <c r="B1192">
        <v>1</v>
      </c>
      <c r="C1192">
        <v>196000</v>
      </c>
      <c r="D1192">
        <v>453139</v>
      </c>
      <c r="E1192">
        <v>196000</v>
      </c>
      <c r="F1192">
        <v>196000</v>
      </c>
      <c r="G1192" s="1">
        <v>1E-3</v>
      </c>
      <c r="H1192" s="1">
        <v>1E-3</v>
      </c>
      <c r="I1192" s="1">
        <v>1E-3</v>
      </c>
      <c r="J1192" s="1">
        <v>0.41389999999999999</v>
      </c>
    </row>
    <row r="1193" spans="1:10" x14ac:dyDescent="0.2">
      <c r="A1193" t="str">
        <f>"14/11/2021"</f>
        <v>14/11/2021</v>
      </c>
      <c r="B1193">
        <v>1</v>
      </c>
      <c r="C1193">
        <v>196000</v>
      </c>
      <c r="D1193">
        <v>461212</v>
      </c>
      <c r="E1193">
        <v>196000</v>
      </c>
      <c r="F1193">
        <v>196000</v>
      </c>
      <c r="G1193" s="1">
        <v>1E-3</v>
      </c>
      <c r="H1193" s="1">
        <v>1E-3</v>
      </c>
      <c r="I1193" s="1">
        <v>1E-3</v>
      </c>
      <c r="J1193" s="1">
        <v>0.40679999999999999</v>
      </c>
    </row>
    <row r="1194" spans="1:10" x14ac:dyDescent="0.2">
      <c r="A1194" t="str">
        <f>"11/11/2021"</f>
        <v>11/11/2021</v>
      </c>
      <c r="B1194">
        <v>3</v>
      </c>
      <c r="C1194">
        <v>195000</v>
      </c>
      <c r="D1194">
        <v>434380</v>
      </c>
      <c r="E1194">
        <v>195000</v>
      </c>
      <c r="F1194">
        <v>195000</v>
      </c>
      <c r="G1194" s="1">
        <v>1E-3</v>
      </c>
      <c r="H1194" s="1">
        <v>1E-3</v>
      </c>
      <c r="I1194" s="1">
        <v>1E-3</v>
      </c>
      <c r="J1194" s="1">
        <v>0.4279</v>
      </c>
    </row>
    <row r="1195" spans="1:10" x14ac:dyDescent="0.2">
      <c r="A1195" t="str">
        <f>"10/11/2021"</f>
        <v>10/11/2021</v>
      </c>
      <c r="B1195">
        <v>1</v>
      </c>
      <c r="C1195">
        <v>194000</v>
      </c>
      <c r="D1195">
        <v>422590</v>
      </c>
      <c r="E1195">
        <v>194000</v>
      </c>
      <c r="F1195">
        <v>194000</v>
      </c>
      <c r="G1195" s="1">
        <v>1E-3</v>
      </c>
      <c r="H1195" s="1">
        <v>1E-3</v>
      </c>
      <c r="I1195" s="1">
        <v>1E-3</v>
      </c>
      <c r="J1195" s="1">
        <v>0.43609999999999999</v>
      </c>
    </row>
    <row r="1196" spans="1:10" x14ac:dyDescent="0.2">
      <c r="A1196" t="str">
        <f>"09/11/2021"</f>
        <v>09/11/2021</v>
      </c>
      <c r="B1196">
        <v>1</v>
      </c>
      <c r="C1196">
        <v>193000</v>
      </c>
      <c r="D1196">
        <v>434730</v>
      </c>
      <c r="E1196">
        <v>193000</v>
      </c>
      <c r="F1196">
        <v>193000</v>
      </c>
      <c r="G1196" s="1">
        <v>1E-3</v>
      </c>
      <c r="H1196" s="1">
        <v>1E-3</v>
      </c>
      <c r="I1196" s="1">
        <v>1E-3</v>
      </c>
      <c r="J1196" s="1">
        <v>0.4214</v>
      </c>
    </row>
    <row r="1197" spans="1:10" x14ac:dyDescent="0.2">
      <c r="A1197" t="str">
        <f>"08/11/2021"</f>
        <v>08/11/2021</v>
      </c>
      <c r="B1197">
        <v>1</v>
      </c>
      <c r="C1197">
        <v>192000</v>
      </c>
      <c r="D1197">
        <v>410620</v>
      </c>
      <c r="E1197">
        <v>192000</v>
      </c>
      <c r="F1197">
        <v>192000</v>
      </c>
      <c r="G1197" s="1">
        <v>1E-3</v>
      </c>
      <c r="H1197" s="1">
        <v>1E-3</v>
      </c>
      <c r="I1197" s="1">
        <v>1E-3</v>
      </c>
      <c r="J1197" s="1">
        <v>0.44340000000000002</v>
      </c>
    </row>
    <row r="1198" spans="1:10" x14ac:dyDescent="0.2">
      <c r="A1198" t="str">
        <f>"07/11/2021"</f>
        <v>07/11/2021</v>
      </c>
      <c r="B1198">
        <v>1</v>
      </c>
      <c r="C1198">
        <v>192000</v>
      </c>
      <c r="D1198">
        <v>407960</v>
      </c>
      <c r="E1198">
        <v>192000</v>
      </c>
      <c r="F1198">
        <v>192000</v>
      </c>
      <c r="G1198" s="1">
        <v>1E-3</v>
      </c>
      <c r="H1198" s="1">
        <v>1E-3</v>
      </c>
      <c r="I1198" s="1">
        <v>1E-3</v>
      </c>
      <c r="J1198" s="1">
        <v>0.44600000000000001</v>
      </c>
    </row>
    <row r="1199" spans="1:10" x14ac:dyDescent="0.2">
      <c r="A1199" t="str">
        <f>"04/11/2021"</f>
        <v>04/11/2021</v>
      </c>
      <c r="B1199">
        <v>3</v>
      </c>
      <c r="C1199">
        <v>193000</v>
      </c>
      <c r="D1199">
        <v>419840</v>
      </c>
      <c r="E1199">
        <v>193000</v>
      </c>
      <c r="F1199">
        <v>193000</v>
      </c>
      <c r="G1199" s="1">
        <v>1E-3</v>
      </c>
      <c r="H1199" s="1">
        <v>1E-3</v>
      </c>
      <c r="I1199" s="1">
        <v>1E-3</v>
      </c>
      <c r="J1199" s="1">
        <v>0.43669999999999998</v>
      </c>
    </row>
    <row r="1200" spans="1:10" x14ac:dyDescent="0.2">
      <c r="A1200" t="str">
        <f>"03/11/2021"</f>
        <v>03/11/2021</v>
      </c>
      <c r="B1200">
        <v>1</v>
      </c>
      <c r="C1200">
        <v>191000</v>
      </c>
      <c r="D1200">
        <v>424344</v>
      </c>
      <c r="E1200">
        <v>191000</v>
      </c>
      <c r="F1200">
        <v>191000</v>
      </c>
      <c r="G1200" s="1">
        <v>1E-3</v>
      </c>
      <c r="H1200" s="1">
        <v>1E-3</v>
      </c>
      <c r="I1200" s="1">
        <v>1E-3</v>
      </c>
      <c r="J1200" s="1">
        <v>0.42780000000000001</v>
      </c>
    </row>
    <row r="1201" spans="1:10" x14ac:dyDescent="0.2">
      <c r="A1201" t="str">
        <f>"02/11/2021"</f>
        <v>02/11/2021</v>
      </c>
      <c r="B1201">
        <v>1</v>
      </c>
      <c r="C1201">
        <v>195000</v>
      </c>
      <c r="D1201">
        <v>432517</v>
      </c>
      <c r="E1201">
        <v>195000</v>
      </c>
      <c r="F1201">
        <v>195000</v>
      </c>
      <c r="G1201" s="1">
        <v>1E-3</v>
      </c>
      <c r="H1201" s="1">
        <v>1E-3</v>
      </c>
      <c r="I1201" s="1">
        <v>1E-3</v>
      </c>
      <c r="J1201" s="1">
        <v>0.42670000000000002</v>
      </c>
    </row>
    <row r="1202" spans="1:10" x14ac:dyDescent="0.2">
      <c r="A1202" t="str">
        <f>"01/11/2021"</f>
        <v>01/11/2021</v>
      </c>
      <c r="B1202">
        <v>1</v>
      </c>
      <c r="C1202">
        <v>195000</v>
      </c>
      <c r="D1202">
        <v>432376</v>
      </c>
      <c r="E1202">
        <v>195000</v>
      </c>
      <c r="F1202">
        <v>195000</v>
      </c>
      <c r="G1202" s="1">
        <v>1E-3</v>
      </c>
      <c r="H1202" s="1">
        <v>1E-3</v>
      </c>
      <c r="I1202" s="1">
        <v>1E-3</v>
      </c>
      <c r="J1202" s="1">
        <v>0.42420000000000002</v>
      </c>
    </row>
    <row r="1203" spans="1:10" x14ac:dyDescent="0.2">
      <c r="A1203" t="str">
        <f>"31/10/2021"</f>
        <v>31/10/2021</v>
      </c>
      <c r="B1203">
        <v>1</v>
      </c>
      <c r="C1203">
        <v>188000</v>
      </c>
      <c r="D1203">
        <v>404320</v>
      </c>
      <c r="E1203">
        <v>188000</v>
      </c>
      <c r="F1203">
        <v>188000</v>
      </c>
      <c r="G1203" s="1">
        <v>1E-3</v>
      </c>
      <c r="H1203" s="1">
        <v>1E-3</v>
      </c>
      <c r="I1203" s="1">
        <v>1E-3</v>
      </c>
      <c r="J1203" s="1">
        <v>0.43769999999999998</v>
      </c>
    </row>
    <row r="1204" spans="1:10" x14ac:dyDescent="0.2">
      <c r="A1204" t="str">
        <f>"28/10/2021"</f>
        <v>28/10/2021</v>
      </c>
      <c r="B1204">
        <v>3</v>
      </c>
      <c r="C1204">
        <v>185000</v>
      </c>
      <c r="D1204">
        <v>392125</v>
      </c>
      <c r="E1204">
        <v>185000</v>
      </c>
      <c r="F1204">
        <v>185000</v>
      </c>
      <c r="G1204" s="1">
        <v>1E-3</v>
      </c>
      <c r="H1204" s="1">
        <v>1E-3</v>
      </c>
      <c r="I1204" s="1">
        <v>1E-3</v>
      </c>
      <c r="J1204" s="1">
        <v>0.44400000000000001</v>
      </c>
    </row>
    <row r="1205" spans="1:10" x14ac:dyDescent="0.2">
      <c r="A1205" t="str">
        <f>"27/10/2021"</f>
        <v>27/10/2021</v>
      </c>
      <c r="B1205">
        <v>1</v>
      </c>
      <c r="C1205">
        <v>178000</v>
      </c>
      <c r="D1205">
        <v>371955</v>
      </c>
      <c r="E1205">
        <v>178000</v>
      </c>
      <c r="F1205">
        <v>178000</v>
      </c>
      <c r="G1205" s="1">
        <v>1E-3</v>
      </c>
      <c r="H1205" s="1">
        <v>1E-3</v>
      </c>
      <c r="I1205" s="1">
        <v>1E-3</v>
      </c>
      <c r="J1205" s="1">
        <v>0.45119999999999999</v>
      </c>
    </row>
    <row r="1206" spans="1:10" x14ac:dyDescent="0.2">
      <c r="A1206" t="str">
        <f>"26/10/2021"</f>
        <v>26/10/2021</v>
      </c>
      <c r="B1206">
        <v>1</v>
      </c>
      <c r="C1206">
        <v>180000</v>
      </c>
      <c r="D1206">
        <v>385264</v>
      </c>
      <c r="E1206">
        <v>180000</v>
      </c>
      <c r="F1206">
        <v>180000</v>
      </c>
      <c r="G1206" s="1">
        <v>1E-3</v>
      </c>
      <c r="H1206" s="1">
        <v>1E-3</v>
      </c>
      <c r="I1206" s="1">
        <v>1E-3</v>
      </c>
      <c r="J1206" s="1">
        <v>0.44169999999999998</v>
      </c>
    </row>
    <row r="1207" spans="1:10" x14ac:dyDescent="0.2">
      <c r="A1207" t="str">
        <f>"25/10/2021"</f>
        <v>25/10/2021</v>
      </c>
      <c r="B1207">
        <v>1</v>
      </c>
      <c r="C1207">
        <v>181000</v>
      </c>
      <c r="D1207">
        <v>387483</v>
      </c>
      <c r="E1207">
        <v>181000</v>
      </c>
      <c r="F1207">
        <v>181000</v>
      </c>
      <c r="G1207" s="1">
        <v>1E-3</v>
      </c>
      <c r="H1207" s="1">
        <v>1E-3</v>
      </c>
      <c r="I1207" s="1">
        <v>1E-3</v>
      </c>
      <c r="J1207" s="1">
        <v>0.43819999999999998</v>
      </c>
    </row>
    <row r="1208" spans="1:10" x14ac:dyDescent="0.2">
      <c r="A1208" t="str">
        <f>"24/10/2021"</f>
        <v>24/10/2021</v>
      </c>
      <c r="B1208">
        <v>1</v>
      </c>
      <c r="C1208">
        <v>179000</v>
      </c>
      <c r="D1208">
        <v>381641</v>
      </c>
      <c r="E1208">
        <v>179000</v>
      </c>
      <c r="F1208">
        <v>179000</v>
      </c>
      <c r="G1208" s="1">
        <v>1E-3</v>
      </c>
      <c r="H1208" s="1">
        <v>1E-3</v>
      </c>
      <c r="I1208" s="1">
        <v>1E-3</v>
      </c>
      <c r="J1208" s="1">
        <v>0.44090000000000001</v>
      </c>
    </row>
    <row r="1209" spans="1:10" x14ac:dyDescent="0.2">
      <c r="A1209" t="str">
        <f>"21/10/2021"</f>
        <v>21/10/2021</v>
      </c>
      <c r="B1209">
        <v>3</v>
      </c>
      <c r="C1209">
        <v>181000</v>
      </c>
      <c r="D1209">
        <v>394572</v>
      </c>
      <c r="E1209">
        <v>181000</v>
      </c>
      <c r="F1209">
        <v>181000</v>
      </c>
      <c r="G1209" s="1">
        <v>1E-3</v>
      </c>
      <c r="H1209" s="1">
        <v>1E-3</v>
      </c>
      <c r="I1209" s="1">
        <v>1E-3</v>
      </c>
      <c r="J1209" s="1">
        <v>0.43109999999999998</v>
      </c>
    </row>
    <row r="1210" spans="1:10" x14ac:dyDescent="0.2">
      <c r="A1210" t="str">
        <f>"20/10/2021"</f>
        <v>20/10/2021</v>
      </c>
      <c r="B1210">
        <v>1</v>
      </c>
      <c r="C1210">
        <v>182000</v>
      </c>
      <c r="D1210">
        <v>413486</v>
      </c>
      <c r="E1210">
        <v>182000</v>
      </c>
      <c r="F1210">
        <v>182000</v>
      </c>
      <c r="G1210" s="1">
        <v>1E-3</v>
      </c>
      <c r="H1210" s="1">
        <v>1E-3</v>
      </c>
      <c r="I1210" s="1">
        <v>1E-3</v>
      </c>
      <c r="J1210" s="1">
        <v>0.41189999999999999</v>
      </c>
    </row>
    <row r="1211" spans="1:10" x14ac:dyDescent="0.2">
      <c r="A1211" t="str">
        <f>"19/10/2021"</f>
        <v>19/10/2021</v>
      </c>
      <c r="B1211">
        <v>1</v>
      </c>
      <c r="C1211">
        <v>184000</v>
      </c>
      <c r="D1211">
        <v>426050</v>
      </c>
      <c r="E1211">
        <v>184000</v>
      </c>
      <c r="F1211">
        <v>184000</v>
      </c>
      <c r="G1211" s="1">
        <v>1E-3</v>
      </c>
      <c r="H1211" s="1">
        <v>1E-3</v>
      </c>
      <c r="I1211" s="1">
        <v>1E-3</v>
      </c>
      <c r="J1211" s="1">
        <v>0.4047</v>
      </c>
    </row>
    <row r="1212" spans="1:10" x14ac:dyDescent="0.2">
      <c r="A1212" t="str">
        <f>"18/10/2021"</f>
        <v>18/10/2021</v>
      </c>
      <c r="B1212">
        <v>1</v>
      </c>
      <c r="C1212">
        <v>186000</v>
      </c>
      <c r="D1212">
        <v>418905</v>
      </c>
      <c r="E1212">
        <v>186000</v>
      </c>
      <c r="F1212">
        <v>186000</v>
      </c>
      <c r="G1212" s="1">
        <v>1E-3</v>
      </c>
      <c r="H1212" s="1">
        <v>1E-3</v>
      </c>
      <c r="I1212" s="1">
        <v>1E-3</v>
      </c>
      <c r="J1212" s="1">
        <v>0.41549999999999998</v>
      </c>
    </row>
    <row r="1213" spans="1:10" x14ac:dyDescent="0.2">
      <c r="A1213" t="str">
        <f>"17/10/2021"</f>
        <v>17/10/2021</v>
      </c>
      <c r="B1213">
        <v>1</v>
      </c>
      <c r="C1213">
        <v>188000</v>
      </c>
      <c r="D1213">
        <v>428338</v>
      </c>
      <c r="E1213">
        <v>188000</v>
      </c>
      <c r="F1213">
        <v>188000</v>
      </c>
      <c r="G1213" s="1">
        <v>1E-3</v>
      </c>
      <c r="H1213" s="1">
        <v>1E-3</v>
      </c>
      <c r="I1213" s="1">
        <v>1E-3</v>
      </c>
      <c r="J1213" s="1">
        <v>0.41439999999999999</v>
      </c>
    </row>
    <row r="1214" spans="1:10" x14ac:dyDescent="0.2">
      <c r="A1214" t="str">
        <f>"14/10/2021"</f>
        <v>14/10/2021</v>
      </c>
      <c r="B1214">
        <v>3</v>
      </c>
      <c r="C1214">
        <v>192000</v>
      </c>
      <c r="D1214">
        <v>448358</v>
      </c>
      <c r="E1214">
        <v>192000</v>
      </c>
      <c r="F1214">
        <v>192000</v>
      </c>
      <c r="G1214" s="1">
        <v>1E-3</v>
      </c>
      <c r="H1214" s="1">
        <v>1E-3</v>
      </c>
      <c r="I1214" s="1">
        <v>1E-3</v>
      </c>
      <c r="J1214" s="1">
        <v>0.40160000000000001</v>
      </c>
    </row>
    <row r="1215" spans="1:10" x14ac:dyDescent="0.2">
      <c r="A1215" t="str">
        <f>"13/10/2021"</f>
        <v>13/10/2021</v>
      </c>
      <c r="B1215">
        <v>1</v>
      </c>
      <c r="C1215">
        <v>194000</v>
      </c>
      <c r="D1215">
        <v>441920</v>
      </c>
      <c r="E1215">
        <v>194000</v>
      </c>
      <c r="F1215">
        <v>194000</v>
      </c>
      <c r="G1215" s="1">
        <v>1E-3</v>
      </c>
      <c r="H1215" s="1">
        <v>1E-3</v>
      </c>
      <c r="I1215" s="1">
        <v>1E-3</v>
      </c>
      <c r="J1215" s="1">
        <v>0.41199999999999998</v>
      </c>
    </row>
    <row r="1216" spans="1:10" x14ac:dyDescent="0.2">
      <c r="A1216" t="str">
        <f>"12/10/2021"</f>
        <v>12/10/2021</v>
      </c>
      <c r="B1216">
        <v>1</v>
      </c>
      <c r="C1216">
        <v>194000</v>
      </c>
      <c r="D1216">
        <v>459900</v>
      </c>
      <c r="E1216">
        <v>194000</v>
      </c>
      <c r="F1216">
        <v>194000</v>
      </c>
      <c r="G1216" s="1">
        <v>1E-3</v>
      </c>
      <c r="H1216" s="1">
        <v>1E-3</v>
      </c>
      <c r="I1216" s="1">
        <v>1E-3</v>
      </c>
      <c r="J1216" s="1">
        <v>0.39510000000000001</v>
      </c>
    </row>
    <row r="1217" spans="1:10" x14ac:dyDescent="0.2">
      <c r="A1217" t="str">
        <f>"11/10/2021"</f>
        <v>11/10/2021</v>
      </c>
      <c r="B1217">
        <v>1</v>
      </c>
      <c r="C1217">
        <v>194000</v>
      </c>
      <c r="D1217">
        <v>469742</v>
      </c>
      <c r="E1217">
        <v>194000</v>
      </c>
      <c r="F1217">
        <v>194000</v>
      </c>
      <c r="G1217" s="1">
        <v>1E-3</v>
      </c>
      <c r="H1217" s="1">
        <v>1E-3</v>
      </c>
      <c r="I1217" s="1">
        <v>1E-3</v>
      </c>
      <c r="J1217" s="1">
        <v>0.38569999999999999</v>
      </c>
    </row>
    <row r="1218" spans="1:10" x14ac:dyDescent="0.2">
      <c r="A1218" t="str">
        <f>"10/10/2021"</f>
        <v>10/10/2021</v>
      </c>
      <c r="B1218">
        <v>1</v>
      </c>
      <c r="C1218">
        <v>194000</v>
      </c>
      <c r="D1218">
        <v>461120</v>
      </c>
      <c r="E1218">
        <v>194000</v>
      </c>
      <c r="F1218">
        <v>194000</v>
      </c>
      <c r="G1218" s="1">
        <v>1E-3</v>
      </c>
      <c r="H1218" s="1">
        <v>1E-3</v>
      </c>
      <c r="I1218" s="1">
        <v>1E-3</v>
      </c>
      <c r="J1218" s="1">
        <v>0.39129999999999998</v>
      </c>
    </row>
    <row r="1219" spans="1:10" x14ac:dyDescent="0.2">
      <c r="A1219" t="str">
        <f>"07/10/2021"</f>
        <v>07/10/2021</v>
      </c>
      <c r="B1219">
        <v>3</v>
      </c>
      <c r="C1219">
        <v>194000</v>
      </c>
      <c r="D1219">
        <v>441490</v>
      </c>
      <c r="E1219">
        <v>194000</v>
      </c>
      <c r="F1219">
        <v>194000</v>
      </c>
      <c r="G1219" s="1">
        <v>1E-3</v>
      </c>
      <c r="H1219" s="1">
        <v>1E-3</v>
      </c>
      <c r="I1219" s="1">
        <v>1E-3</v>
      </c>
      <c r="J1219" s="1">
        <v>0.41299999999999998</v>
      </c>
    </row>
    <row r="1220" spans="1:10" x14ac:dyDescent="0.2">
      <c r="A1220" t="str">
        <f>"06/10/2021"</f>
        <v>06/10/2021</v>
      </c>
      <c r="B1220">
        <v>1</v>
      </c>
      <c r="C1220">
        <v>188000</v>
      </c>
      <c r="D1220">
        <v>179208</v>
      </c>
      <c r="E1220">
        <v>179208</v>
      </c>
      <c r="F1220">
        <v>179208</v>
      </c>
      <c r="G1220" s="1">
        <v>1E-3</v>
      </c>
      <c r="H1220" s="1">
        <v>1E-3</v>
      </c>
      <c r="I1220" s="1">
        <v>1E-3</v>
      </c>
      <c r="J1220" s="1">
        <v>1</v>
      </c>
    </row>
    <row r="1221" spans="1:10" x14ac:dyDescent="0.2">
      <c r="A1221" t="str">
        <f>"05/10/2021"</f>
        <v>05/10/2021</v>
      </c>
      <c r="B1221">
        <v>1</v>
      </c>
      <c r="C1221">
        <v>190000</v>
      </c>
      <c r="D1221">
        <v>446210</v>
      </c>
      <c r="E1221">
        <v>190000</v>
      </c>
      <c r="F1221">
        <v>190000</v>
      </c>
      <c r="G1221" s="1">
        <v>1E-3</v>
      </c>
      <c r="H1221" s="1">
        <v>1E-3</v>
      </c>
      <c r="I1221" s="1">
        <v>1E-3</v>
      </c>
      <c r="J1221" s="1">
        <v>0.39429999999999998</v>
      </c>
    </row>
    <row r="1222" spans="1:10" x14ac:dyDescent="0.2">
      <c r="A1222" t="str">
        <f>"04/10/2021"</f>
        <v>04/10/2021</v>
      </c>
      <c r="B1222">
        <v>1</v>
      </c>
      <c r="C1222">
        <v>192000</v>
      </c>
      <c r="D1222">
        <v>451470</v>
      </c>
      <c r="E1222">
        <v>192000</v>
      </c>
      <c r="F1222">
        <v>192000</v>
      </c>
      <c r="G1222" s="1">
        <v>1E-3</v>
      </c>
      <c r="H1222" s="1">
        <v>1E-3</v>
      </c>
      <c r="I1222" s="1">
        <v>1E-3</v>
      </c>
      <c r="J1222" s="1">
        <v>0.39279999999999998</v>
      </c>
    </row>
    <row r="1223" spans="1:10" x14ac:dyDescent="0.2">
      <c r="A1223" t="str">
        <f>"03/10/2021"</f>
        <v>03/10/2021</v>
      </c>
      <c r="B1223">
        <v>1</v>
      </c>
      <c r="C1223">
        <v>196000</v>
      </c>
      <c r="D1223">
        <v>460375</v>
      </c>
      <c r="E1223">
        <v>196000</v>
      </c>
      <c r="F1223">
        <v>196000</v>
      </c>
      <c r="G1223" s="1">
        <v>1E-3</v>
      </c>
      <c r="H1223" s="1">
        <v>1E-3</v>
      </c>
      <c r="I1223" s="1">
        <v>1E-3</v>
      </c>
      <c r="J1223" s="1">
        <v>0.39839999999999998</v>
      </c>
    </row>
    <row r="1224" spans="1:10" x14ac:dyDescent="0.2">
      <c r="A1224" t="str">
        <f>"30/09/2021"</f>
        <v>30/09/2021</v>
      </c>
      <c r="B1224">
        <v>3</v>
      </c>
      <c r="C1224">
        <v>198000</v>
      </c>
      <c r="D1224">
        <v>462570</v>
      </c>
      <c r="E1224">
        <v>198000</v>
      </c>
      <c r="F1224">
        <v>198000</v>
      </c>
      <c r="G1224" s="1">
        <v>1E-3</v>
      </c>
      <c r="H1224" s="1">
        <v>1E-3</v>
      </c>
      <c r="I1224" s="1">
        <v>1E-3</v>
      </c>
      <c r="J1224" s="1">
        <v>0.40439999999999998</v>
      </c>
    </row>
    <row r="1225" spans="1:10" x14ac:dyDescent="0.2">
      <c r="A1225" t="str">
        <f>"29/09/2021"</f>
        <v>29/09/2021</v>
      </c>
      <c r="B1225">
        <v>1</v>
      </c>
      <c r="C1225">
        <v>192000</v>
      </c>
      <c r="D1225">
        <v>452073</v>
      </c>
      <c r="E1225">
        <v>192000</v>
      </c>
      <c r="F1225">
        <v>192000</v>
      </c>
      <c r="G1225" s="1">
        <v>1E-3</v>
      </c>
      <c r="H1225" s="1">
        <v>1E-3</v>
      </c>
      <c r="I1225" s="1">
        <v>1E-3</v>
      </c>
      <c r="J1225" s="1">
        <v>0.39679999999999999</v>
      </c>
    </row>
    <row r="1226" spans="1:10" x14ac:dyDescent="0.2">
      <c r="A1226" t="str">
        <f>"26/09/2021"</f>
        <v>26/09/2021</v>
      </c>
      <c r="B1226">
        <v>3</v>
      </c>
      <c r="C1226">
        <v>192000</v>
      </c>
      <c r="D1226">
        <v>451620</v>
      </c>
      <c r="E1226">
        <v>192000</v>
      </c>
      <c r="F1226">
        <v>192000</v>
      </c>
      <c r="G1226" s="1">
        <v>1E-3</v>
      </c>
      <c r="H1226" s="1">
        <v>1E-3</v>
      </c>
      <c r="I1226" s="1">
        <v>1E-3</v>
      </c>
      <c r="J1226" s="1">
        <v>0.39789999999999998</v>
      </c>
    </row>
    <row r="1227" spans="1:10" x14ac:dyDescent="0.2">
      <c r="A1227" t="str">
        <f>"23/09/2021"</f>
        <v>23/09/2021</v>
      </c>
      <c r="B1227">
        <v>3</v>
      </c>
      <c r="C1227">
        <v>192000</v>
      </c>
      <c r="D1227">
        <v>449505</v>
      </c>
      <c r="E1227">
        <v>192000</v>
      </c>
      <c r="F1227">
        <v>192000</v>
      </c>
      <c r="G1227" s="1">
        <v>1E-3</v>
      </c>
      <c r="H1227" s="1">
        <v>1E-3</v>
      </c>
      <c r="I1227" s="1">
        <v>1E-3</v>
      </c>
      <c r="J1227" s="1">
        <v>0.39989999999999998</v>
      </c>
    </row>
    <row r="1228" spans="1:10" x14ac:dyDescent="0.2">
      <c r="A1228" t="str">
        <f>"22/09/2021"</f>
        <v>22/09/2021</v>
      </c>
      <c r="B1228">
        <v>1</v>
      </c>
      <c r="C1228">
        <v>188000</v>
      </c>
      <c r="D1228">
        <v>443738</v>
      </c>
      <c r="E1228">
        <v>188000</v>
      </c>
      <c r="F1228">
        <v>188000</v>
      </c>
      <c r="G1228" s="1">
        <v>1E-3</v>
      </c>
      <c r="H1228" s="1">
        <v>1E-3</v>
      </c>
      <c r="I1228" s="1">
        <v>1E-3</v>
      </c>
      <c r="J1228" s="1">
        <v>0.3957</v>
      </c>
    </row>
    <row r="1229" spans="1:10" x14ac:dyDescent="0.2">
      <c r="A1229" t="str">
        <f>"19/09/2021"</f>
        <v>19/09/2021</v>
      </c>
      <c r="B1229">
        <v>3</v>
      </c>
      <c r="C1229">
        <v>193000</v>
      </c>
      <c r="D1229">
        <v>453850</v>
      </c>
      <c r="E1229">
        <v>193000</v>
      </c>
      <c r="F1229">
        <v>193000</v>
      </c>
      <c r="G1229" s="1">
        <v>1E-3</v>
      </c>
      <c r="H1229" s="1">
        <v>1E-3</v>
      </c>
      <c r="I1229" s="1">
        <v>1E-3</v>
      </c>
      <c r="J1229" s="1">
        <v>0.39850000000000002</v>
      </c>
    </row>
    <row r="1230" spans="1:10" x14ac:dyDescent="0.2">
      <c r="A1230" t="str">
        <f>"14/09/2021"</f>
        <v>14/09/2021</v>
      </c>
      <c r="B1230">
        <v>5</v>
      </c>
      <c r="C1230">
        <v>200000</v>
      </c>
      <c r="D1230">
        <v>469140</v>
      </c>
      <c r="E1230">
        <v>200000</v>
      </c>
      <c r="F1230">
        <v>200000</v>
      </c>
      <c r="G1230" s="1">
        <v>1E-3</v>
      </c>
      <c r="H1230" s="1">
        <v>1E-3</v>
      </c>
      <c r="I1230" s="1">
        <v>1E-3</v>
      </c>
      <c r="J1230" s="1">
        <v>0.39879999999999999</v>
      </c>
    </row>
    <row r="1231" spans="1:10" x14ac:dyDescent="0.2">
      <c r="A1231" t="str">
        <f>"13/09/2021"</f>
        <v>13/09/2021</v>
      </c>
      <c r="B1231">
        <v>1</v>
      </c>
      <c r="C1231">
        <v>203000</v>
      </c>
      <c r="D1231">
        <v>474213</v>
      </c>
      <c r="E1231">
        <v>203000</v>
      </c>
      <c r="F1231">
        <v>203000</v>
      </c>
      <c r="G1231" s="1">
        <v>1E-3</v>
      </c>
      <c r="H1231" s="1">
        <v>1E-3</v>
      </c>
      <c r="I1231" s="1">
        <v>1E-3</v>
      </c>
      <c r="J1231" s="1">
        <v>0.3997</v>
      </c>
    </row>
    <row r="1232" spans="1:10" x14ac:dyDescent="0.2">
      <c r="A1232" t="str">
        <f>"12/09/2021"</f>
        <v>12/09/2021</v>
      </c>
      <c r="B1232">
        <v>1</v>
      </c>
      <c r="C1232">
        <v>203000</v>
      </c>
      <c r="D1232">
        <v>477470</v>
      </c>
      <c r="E1232">
        <v>203000</v>
      </c>
      <c r="F1232">
        <v>203000</v>
      </c>
      <c r="G1232" s="1">
        <v>1E-3</v>
      </c>
      <c r="H1232" s="1">
        <v>1E-3</v>
      </c>
      <c r="I1232" s="1">
        <v>1E-3</v>
      </c>
      <c r="J1232" s="1">
        <v>0.3967</v>
      </c>
    </row>
    <row r="1233" spans="1:10" x14ac:dyDescent="0.2">
      <c r="A1233" t="str">
        <f>"09/09/2021"</f>
        <v>09/09/2021</v>
      </c>
      <c r="B1233">
        <v>3</v>
      </c>
      <c r="C1233">
        <v>203000</v>
      </c>
      <c r="D1233">
        <v>474104</v>
      </c>
      <c r="E1233">
        <v>203000</v>
      </c>
      <c r="F1233">
        <v>203000</v>
      </c>
      <c r="G1233" s="1">
        <v>1E-3</v>
      </c>
      <c r="H1233" s="1">
        <v>1E-3</v>
      </c>
      <c r="I1233" s="1">
        <v>1E-3</v>
      </c>
      <c r="J1233" s="1">
        <v>0.40279999999999999</v>
      </c>
    </row>
    <row r="1234" spans="1:10" x14ac:dyDescent="0.2">
      <c r="A1234" t="str">
        <f>"05/09/2021"</f>
        <v>05/09/2021</v>
      </c>
      <c r="B1234">
        <v>4</v>
      </c>
      <c r="C1234">
        <v>202000</v>
      </c>
      <c r="D1234">
        <v>472455</v>
      </c>
      <c r="E1234">
        <v>202000</v>
      </c>
      <c r="F1234">
        <v>202000</v>
      </c>
      <c r="G1234" s="1">
        <v>1E-3</v>
      </c>
      <c r="H1234" s="1">
        <v>1E-3</v>
      </c>
      <c r="I1234" s="1">
        <v>1E-3</v>
      </c>
      <c r="J1234" s="1">
        <v>0.40260000000000001</v>
      </c>
    </row>
    <row r="1235" spans="1:10" x14ac:dyDescent="0.2">
      <c r="A1235" t="str">
        <f>"02/09/2021"</f>
        <v>02/09/2021</v>
      </c>
      <c r="B1235">
        <v>3</v>
      </c>
      <c r="C1235">
        <v>202000</v>
      </c>
      <c r="D1235">
        <v>463933</v>
      </c>
      <c r="E1235">
        <v>202000</v>
      </c>
      <c r="F1235">
        <v>202000</v>
      </c>
      <c r="G1235" s="1">
        <v>1E-3</v>
      </c>
      <c r="H1235" s="1">
        <v>1E-3</v>
      </c>
      <c r="I1235" s="1">
        <v>1E-3</v>
      </c>
      <c r="J1235" s="1">
        <v>0.41070000000000001</v>
      </c>
    </row>
    <row r="1236" spans="1:10" x14ac:dyDescent="0.2">
      <c r="A1236" t="str">
        <f>"01/09/2021"</f>
        <v>01/09/2021</v>
      </c>
      <c r="B1236">
        <v>1</v>
      </c>
      <c r="C1236">
        <v>202000</v>
      </c>
      <c r="D1236">
        <v>483295</v>
      </c>
      <c r="E1236">
        <v>202000</v>
      </c>
      <c r="F1236">
        <v>202000</v>
      </c>
      <c r="G1236" s="1">
        <v>1E-3</v>
      </c>
      <c r="H1236" s="1">
        <v>1E-3</v>
      </c>
      <c r="I1236" s="1">
        <v>1E-3</v>
      </c>
      <c r="J1236" s="1">
        <v>0.3906</v>
      </c>
    </row>
    <row r="1237" spans="1:10" x14ac:dyDescent="0.2">
      <c r="A1237" t="str">
        <f>"31/08/2021"</f>
        <v>31/08/2021</v>
      </c>
      <c r="B1237">
        <v>1</v>
      </c>
      <c r="C1237">
        <v>195000</v>
      </c>
      <c r="D1237">
        <v>456395</v>
      </c>
      <c r="E1237">
        <v>195000</v>
      </c>
      <c r="F1237">
        <v>195000</v>
      </c>
      <c r="G1237" s="1">
        <v>1E-3</v>
      </c>
      <c r="H1237" s="1">
        <v>1E-3</v>
      </c>
      <c r="I1237" s="1">
        <v>1E-3</v>
      </c>
      <c r="J1237" s="1">
        <v>0.4027</v>
      </c>
    </row>
    <row r="1238" spans="1:10" x14ac:dyDescent="0.2">
      <c r="A1238" t="str">
        <f>"30/08/2021"</f>
        <v>30/08/2021</v>
      </c>
      <c r="B1238">
        <v>1</v>
      </c>
      <c r="C1238">
        <v>187000</v>
      </c>
      <c r="D1238">
        <v>437994</v>
      </c>
      <c r="E1238">
        <v>187000</v>
      </c>
      <c r="F1238">
        <v>187000</v>
      </c>
      <c r="G1238" s="1">
        <v>1E-3</v>
      </c>
      <c r="H1238" s="1">
        <v>1E-3</v>
      </c>
      <c r="I1238" s="1">
        <v>1E-3</v>
      </c>
      <c r="J1238" s="1">
        <v>0.3987</v>
      </c>
    </row>
    <row r="1239" spans="1:10" x14ac:dyDescent="0.2">
      <c r="A1239" t="str">
        <f>"29/08/2021"</f>
        <v>29/08/2021</v>
      </c>
      <c r="B1239">
        <v>1</v>
      </c>
      <c r="C1239">
        <v>187000</v>
      </c>
      <c r="D1239">
        <v>426440</v>
      </c>
      <c r="E1239">
        <v>187000</v>
      </c>
      <c r="F1239">
        <v>187000</v>
      </c>
      <c r="G1239" s="1">
        <v>1E-3</v>
      </c>
      <c r="H1239" s="1">
        <v>1E-3</v>
      </c>
      <c r="I1239" s="1">
        <v>1E-3</v>
      </c>
      <c r="J1239" s="1">
        <v>0.4113</v>
      </c>
    </row>
    <row r="1240" spans="1:10" x14ac:dyDescent="0.2">
      <c r="A1240" t="str">
        <f>"26/08/2021"</f>
        <v>26/08/2021</v>
      </c>
      <c r="B1240">
        <v>3</v>
      </c>
      <c r="C1240">
        <v>180000</v>
      </c>
      <c r="D1240">
        <v>386990</v>
      </c>
      <c r="E1240">
        <v>180000</v>
      </c>
      <c r="F1240">
        <v>180000</v>
      </c>
      <c r="G1240" s="1">
        <v>1E-3</v>
      </c>
      <c r="H1240" s="1">
        <v>1E-3</v>
      </c>
      <c r="I1240" s="1">
        <v>1E-3</v>
      </c>
      <c r="J1240" s="1">
        <v>0.43830000000000002</v>
      </c>
    </row>
    <row r="1241" spans="1:10" x14ac:dyDescent="0.2">
      <c r="A1241" t="str">
        <f>"25/08/2021"</f>
        <v>25/08/2021</v>
      </c>
      <c r="B1241">
        <v>1</v>
      </c>
      <c r="C1241">
        <v>172000</v>
      </c>
      <c r="D1241">
        <v>164335</v>
      </c>
      <c r="E1241">
        <v>164335</v>
      </c>
      <c r="F1241">
        <v>164335</v>
      </c>
      <c r="G1241" s="1">
        <v>1E-3</v>
      </c>
      <c r="H1241" s="1">
        <v>1E-3</v>
      </c>
      <c r="I1241" s="1">
        <v>1E-3</v>
      </c>
      <c r="J1241" s="1">
        <v>1</v>
      </c>
    </row>
    <row r="1242" spans="1:10" x14ac:dyDescent="0.2">
      <c r="A1242" t="str">
        <f>"24/08/2021"</f>
        <v>24/08/2021</v>
      </c>
      <c r="B1242">
        <v>1</v>
      </c>
      <c r="C1242">
        <v>178000</v>
      </c>
      <c r="D1242">
        <v>371820</v>
      </c>
      <c r="E1242">
        <v>178000</v>
      </c>
      <c r="F1242">
        <v>178000</v>
      </c>
      <c r="G1242" s="1">
        <v>1E-3</v>
      </c>
      <c r="H1242" s="1">
        <v>1E-3</v>
      </c>
      <c r="I1242" s="1">
        <v>1E-3</v>
      </c>
      <c r="J1242" s="1">
        <v>0.45300000000000001</v>
      </c>
    </row>
    <row r="1243" spans="1:10" x14ac:dyDescent="0.2">
      <c r="A1243" t="str">
        <f>"23/08/2021"</f>
        <v>23/08/2021</v>
      </c>
      <c r="B1243">
        <v>1</v>
      </c>
      <c r="C1243">
        <v>178000</v>
      </c>
      <c r="D1243">
        <v>382010</v>
      </c>
      <c r="E1243">
        <v>178000</v>
      </c>
      <c r="F1243">
        <v>178000</v>
      </c>
      <c r="G1243" s="1">
        <v>1E-3</v>
      </c>
      <c r="H1243" s="1">
        <v>1E-3</v>
      </c>
      <c r="I1243" s="1">
        <v>1E-3</v>
      </c>
      <c r="J1243" s="1">
        <v>0.43790000000000001</v>
      </c>
    </row>
    <row r="1244" spans="1:10" x14ac:dyDescent="0.2">
      <c r="A1244" t="str">
        <f>"22/08/2021"</f>
        <v>22/08/2021</v>
      </c>
      <c r="B1244">
        <v>1</v>
      </c>
      <c r="C1244">
        <v>177000</v>
      </c>
      <c r="D1244">
        <v>397730</v>
      </c>
      <c r="E1244">
        <v>177000</v>
      </c>
      <c r="F1244">
        <v>177000</v>
      </c>
      <c r="G1244" s="1">
        <v>1E-3</v>
      </c>
      <c r="H1244" s="1">
        <v>1E-3</v>
      </c>
      <c r="I1244" s="1">
        <v>1E-3</v>
      </c>
      <c r="J1244" s="1">
        <v>0.41549999999999998</v>
      </c>
    </row>
    <row r="1245" spans="1:10" x14ac:dyDescent="0.2">
      <c r="A1245" t="str">
        <f>"19/08/2021"</f>
        <v>19/08/2021</v>
      </c>
      <c r="B1245">
        <v>3</v>
      </c>
      <c r="C1245">
        <v>180000</v>
      </c>
      <c r="D1245">
        <v>406200</v>
      </c>
      <c r="E1245">
        <v>180000</v>
      </c>
      <c r="F1245">
        <v>180000</v>
      </c>
      <c r="G1245" s="1">
        <v>1E-3</v>
      </c>
      <c r="H1245" s="1">
        <v>1E-3</v>
      </c>
      <c r="I1245" s="1">
        <v>1E-3</v>
      </c>
      <c r="J1245" s="1">
        <v>0.41399999999999998</v>
      </c>
    </row>
    <row r="1246" spans="1:10" x14ac:dyDescent="0.2">
      <c r="A1246" t="str">
        <f>"18/08/2021"</f>
        <v>18/08/2021</v>
      </c>
      <c r="B1246">
        <v>1</v>
      </c>
      <c r="C1246">
        <v>180000</v>
      </c>
      <c r="D1246">
        <v>405020</v>
      </c>
      <c r="E1246">
        <v>180000</v>
      </c>
      <c r="F1246">
        <v>180000</v>
      </c>
      <c r="G1246" s="1">
        <v>1E-3</v>
      </c>
      <c r="H1246" s="1">
        <v>1E-3</v>
      </c>
      <c r="I1246" s="1">
        <v>1E-3</v>
      </c>
      <c r="J1246" s="1">
        <v>0.4143</v>
      </c>
    </row>
    <row r="1247" spans="1:10" x14ac:dyDescent="0.2">
      <c r="A1247" t="str">
        <f>"17/08/2021"</f>
        <v>17/08/2021</v>
      </c>
      <c r="B1247">
        <v>1</v>
      </c>
      <c r="C1247">
        <v>182000</v>
      </c>
      <c r="D1247">
        <v>413324</v>
      </c>
      <c r="E1247">
        <v>182000</v>
      </c>
      <c r="F1247">
        <v>182000</v>
      </c>
      <c r="G1247" s="1">
        <v>1E-3</v>
      </c>
      <c r="H1247" s="1">
        <v>1E-3</v>
      </c>
      <c r="I1247" s="1">
        <v>1E-3</v>
      </c>
      <c r="J1247" s="1">
        <v>0.41139999999999999</v>
      </c>
    </row>
    <row r="1248" spans="1:10" x14ac:dyDescent="0.2">
      <c r="A1248" t="str">
        <f>"16/08/2021"</f>
        <v>16/08/2021</v>
      </c>
      <c r="B1248">
        <v>1</v>
      </c>
      <c r="C1248">
        <v>185000</v>
      </c>
      <c r="D1248">
        <v>414684</v>
      </c>
      <c r="E1248">
        <v>185000</v>
      </c>
      <c r="F1248">
        <v>185000</v>
      </c>
      <c r="G1248" s="1">
        <v>1E-3</v>
      </c>
      <c r="H1248" s="1">
        <v>1E-3</v>
      </c>
      <c r="I1248" s="1">
        <v>1E-3</v>
      </c>
      <c r="J1248" s="1">
        <v>0.41660000000000003</v>
      </c>
    </row>
    <row r="1249" spans="1:10" x14ac:dyDescent="0.2">
      <c r="A1249" t="str">
        <f>"15/08/2021"</f>
        <v>15/08/2021</v>
      </c>
      <c r="B1249">
        <v>1</v>
      </c>
      <c r="C1249">
        <v>191000</v>
      </c>
      <c r="D1249">
        <v>432984</v>
      </c>
      <c r="E1249">
        <v>191000</v>
      </c>
      <c r="F1249">
        <v>191000</v>
      </c>
      <c r="G1249" s="1">
        <v>1E-3</v>
      </c>
      <c r="H1249" s="1">
        <v>1E-3</v>
      </c>
      <c r="I1249" s="1">
        <v>1E-3</v>
      </c>
      <c r="J1249" s="1">
        <v>0.41089999999999999</v>
      </c>
    </row>
    <row r="1250" spans="1:10" x14ac:dyDescent="0.2">
      <c r="A1250" t="str">
        <f>"12/08/2021"</f>
        <v>12/08/2021</v>
      </c>
      <c r="B1250">
        <v>3</v>
      </c>
      <c r="C1250">
        <v>194000</v>
      </c>
      <c r="D1250">
        <v>422540</v>
      </c>
      <c r="E1250">
        <v>194000</v>
      </c>
      <c r="F1250">
        <v>194000</v>
      </c>
      <c r="G1250" s="1">
        <v>1E-3</v>
      </c>
      <c r="H1250" s="1">
        <v>1E-3</v>
      </c>
      <c r="I1250" s="1">
        <v>1E-3</v>
      </c>
      <c r="J1250" s="1">
        <v>0.43030000000000002</v>
      </c>
    </row>
    <row r="1251" spans="1:10" x14ac:dyDescent="0.2">
      <c r="A1251" t="str">
        <f>"11/08/2021"</f>
        <v>11/08/2021</v>
      </c>
      <c r="B1251">
        <v>1</v>
      </c>
      <c r="C1251">
        <v>192000</v>
      </c>
      <c r="D1251">
        <v>438460</v>
      </c>
      <c r="E1251">
        <v>192000</v>
      </c>
      <c r="F1251">
        <v>192000</v>
      </c>
      <c r="G1251" s="1">
        <v>1E-3</v>
      </c>
      <c r="H1251" s="1">
        <v>1E-3</v>
      </c>
      <c r="I1251" s="1">
        <v>1E-3</v>
      </c>
      <c r="J1251" s="1">
        <v>0.40849999999999997</v>
      </c>
    </row>
    <row r="1252" spans="1:10" x14ac:dyDescent="0.2">
      <c r="A1252" t="str">
        <f>"10/08/2021"</f>
        <v>10/08/2021</v>
      </c>
      <c r="B1252">
        <v>1</v>
      </c>
      <c r="C1252">
        <v>191000</v>
      </c>
      <c r="D1252">
        <v>441130</v>
      </c>
      <c r="E1252">
        <v>191000</v>
      </c>
      <c r="F1252">
        <v>191000</v>
      </c>
      <c r="G1252" s="1">
        <v>1E-3</v>
      </c>
      <c r="H1252" s="1">
        <v>1E-3</v>
      </c>
      <c r="I1252" s="1">
        <v>1E-3</v>
      </c>
      <c r="J1252" s="1">
        <v>0.40389999999999998</v>
      </c>
    </row>
    <row r="1253" spans="1:10" x14ac:dyDescent="0.2">
      <c r="A1253" t="str">
        <f>"09/08/2021"</f>
        <v>09/08/2021</v>
      </c>
      <c r="B1253">
        <v>1</v>
      </c>
      <c r="C1253">
        <v>192000</v>
      </c>
      <c r="D1253">
        <v>429069</v>
      </c>
      <c r="E1253">
        <v>192000</v>
      </c>
      <c r="F1253">
        <v>192000</v>
      </c>
      <c r="G1253" s="1">
        <v>1E-3</v>
      </c>
      <c r="H1253" s="1">
        <v>1E-3</v>
      </c>
      <c r="I1253" s="1">
        <v>1E-3</v>
      </c>
      <c r="J1253" s="1">
        <v>0.41670000000000001</v>
      </c>
    </row>
    <row r="1254" spans="1:10" x14ac:dyDescent="0.2">
      <c r="A1254" t="str">
        <f>"08/08/2021"</f>
        <v>08/08/2021</v>
      </c>
      <c r="B1254">
        <v>1</v>
      </c>
      <c r="C1254">
        <v>192000</v>
      </c>
      <c r="D1254">
        <v>425714</v>
      </c>
      <c r="E1254">
        <v>192000</v>
      </c>
      <c r="F1254">
        <v>192000</v>
      </c>
      <c r="G1254" s="1">
        <v>1E-3</v>
      </c>
      <c r="H1254" s="1">
        <v>1E-3</v>
      </c>
      <c r="I1254" s="1">
        <v>1E-3</v>
      </c>
      <c r="J1254" s="1">
        <v>0.42399999999999999</v>
      </c>
    </row>
    <row r="1255" spans="1:10" x14ac:dyDescent="0.2">
      <c r="A1255" t="str">
        <f>"05/08/2021"</f>
        <v>05/08/2021</v>
      </c>
      <c r="B1255">
        <v>3</v>
      </c>
      <c r="C1255">
        <v>193000</v>
      </c>
      <c r="D1255">
        <v>423340</v>
      </c>
      <c r="E1255">
        <v>193000</v>
      </c>
      <c r="F1255">
        <v>193000</v>
      </c>
      <c r="G1255" s="1">
        <v>1E-3</v>
      </c>
      <c r="H1255" s="1">
        <v>1E-3</v>
      </c>
      <c r="I1255" s="1">
        <v>1E-3</v>
      </c>
      <c r="J1255" s="1">
        <v>0.42709999999999998</v>
      </c>
    </row>
    <row r="1256" spans="1:10" x14ac:dyDescent="0.2">
      <c r="A1256" t="str">
        <f>"04/08/2021"</f>
        <v>04/08/2021</v>
      </c>
      <c r="B1256">
        <v>1</v>
      </c>
      <c r="C1256">
        <v>192000</v>
      </c>
      <c r="D1256">
        <v>428713</v>
      </c>
      <c r="E1256">
        <v>192000</v>
      </c>
      <c r="F1256">
        <v>192000</v>
      </c>
      <c r="G1256" s="1">
        <v>1E-3</v>
      </c>
      <c r="H1256" s="1">
        <v>1E-3</v>
      </c>
      <c r="I1256" s="1">
        <v>1E-3</v>
      </c>
      <c r="J1256" s="1">
        <v>0.41909999999999997</v>
      </c>
    </row>
    <row r="1257" spans="1:10" x14ac:dyDescent="0.2">
      <c r="A1257" t="str">
        <f>"03/08/2021"</f>
        <v>03/08/2021</v>
      </c>
      <c r="B1257">
        <v>1</v>
      </c>
      <c r="C1257">
        <v>190000</v>
      </c>
      <c r="D1257">
        <v>436900</v>
      </c>
      <c r="E1257">
        <v>190000</v>
      </c>
      <c r="F1257">
        <v>190000</v>
      </c>
      <c r="G1257" s="1">
        <v>1E-3</v>
      </c>
      <c r="H1257" s="1">
        <v>1E-3</v>
      </c>
      <c r="I1257" s="1">
        <v>1E-3</v>
      </c>
      <c r="J1257" s="1">
        <v>0.40610000000000002</v>
      </c>
    </row>
    <row r="1258" spans="1:10" x14ac:dyDescent="0.2">
      <c r="A1258" t="str">
        <f>"02/08/2021"</f>
        <v>02/08/2021</v>
      </c>
      <c r="B1258">
        <v>1</v>
      </c>
      <c r="C1258">
        <v>194000</v>
      </c>
      <c r="D1258">
        <v>442110</v>
      </c>
      <c r="E1258">
        <v>194000</v>
      </c>
      <c r="F1258">
        <v>194000</v>
      </c>
      <c r="G1258" s="1">
        <v>1E-3</v>
      </c>
      <c r="H1258" s="1">
        <v>1E-3</v>
      </c>
      <c r="I1258" s="1">
        <v>1E-3</v>
      </c>
      <c r="J1258" s="1">
        <v>0.40899999999999997</v>
      </c>
    </row>
    <row r="1259" spans="1:10" x14ac:dyDescent="0.2">
      <c r="A1259" t="str">
        <f>"01/08/2021"</f>
        <v>01/08/2021</v>
      </c>
      <c r="B1259">
        <v>1</v>
      </c>
      <c r="C1259">
        <v>194000</v>
      </c>
      <c r="D1259">
        <v>426979</v>
      </c>
      <c r="E1259">
        <v>194000</v>
      </c>
      <c r="F1259">
        <v>194000</v>
      </c>
      <c r="G1259" s="1">
        <v>1E-3</v>
      </c>
      <c r="H1259" s="1">
        <v>1E-3</v>
      </c>
      <c r="I1259" s="1">
        <v>1E-3</v>
      </c>
      <c r="J1259" s="1">
        <v>0.42849999999999999</v>
      </c>
    </row>
    <row r="1260" spans="1:10" x14ac:dyDescent="0.2">
      <c r="A1260" t="str">
        <f>"29/07/2021"</f>
        <v>29/07/2021</v>
      </c>
      <c r="B1260">
        <v>3</v>
      </c>
      <c r="C1260">
        <v>180000</v>
      </c>
      <c r="D1260">
        <v>362171</v>
      </c>
      <c r="E1260">
        <v>180000</v>
      </c>
      <c r="F1260">
        <v>180000</v>
      </c>
      <c r="G1260" s="1">
        <v>1E-3</v>
      </c>
      <c r="H1260" s="1">
        <v>1E-3</v>
      </c>
      <c r="I1260" s="1">
        <v>1E-3</v>
      </c>
      <c r="J1260" s="1">
        <v>0.47220000000000001</v>
      </c>
    </row>
    <row r="1261" spans="1:10" x14ac:dyDescent="0.2">
      <c r="A1261" t="str">
        <f>"28/07/2021"</f>
        <v>28/07/2021</v>
      </c>
      <c r="B1261">
        <v>1</v>
      </c>
      <c r="C1261">
        <v>175000</v>
      </c>
      <c r="D1261">
        <v>362544</v>
      </c>
      <c r="E1261">
        <v>175000</v>
      </c>
      <c r="F1261">
        <v>175000</v>
      </c>
      <c r="G1261" s="1">
        <v>1E-3</v>
      </c>
      <c r="H1261" s="1">
        <v>1E-3</v>
      </c>
      <c r="I1261" s="1">
        <v>1E-3</v>
      </c>
      <c r="J1261" s="1">
        <v>0.45529999999999998</v>
      </c>
    </row>
    <row r="1262" spans="1:10" x14ac:dyDescent="0.2">
      <c r="A1262" t="str">
        <f>"27/07/2021"</f>
        <v>27/07/2021</v>
      </c>
      <c r="B1262">
        <v>1</v>
      </c>
      <c r="C1262">
        <v>171000</v>
      </c>
      <c r="D1262">
        <v>364348</v>
      </c>
      <c r="E1262">
        <v>171000</v>
      </c>
      <c r="F1262">
        <v>171000</v>
      </c>
      <c r="G1262" s="1">
        <v>1E-3</v>
      </c>
      <c r="H1262" s="1">
        <v>1E-3</v>
      </c>
      <c r="I1262" s="1">
        <v>1E-3</v>
      </c>
      <c r="J1262" s="1">
        <v>0.44240000000000002</v>
      </c>
    </row>
    <row r="1263" spans="1:10" x14ac:dyDescent="0.2">
      <c r="A1263" t="str">
        <f>"26/07/2021"</f>
        <v>26/07/2021</v>
      </c>
      <c r="B1263">
        <v>1</v>
      </c>
      <c r="C1263">
        <v>174000</v>
      </c>
      <c r="D1263">
        <v>369604</v>
      </c>
      <c r="E1263">
        <v>174000</v>
      </c>
      <c r="F1263">
        <v>174000</v>
      </c>
      <c r="G1263" s="1">
        <v>1E-3</v>
      </c>
      <c r="H1263" s="1">
        <v>1E-3</v>
      </c>
      <c r="I1263" s="1">
        <v>1E-3</v>
      </c>
      <c r="J1263" s="1">
        <v>0.44340000000000002</v>
      </c>
    </row>
    <row r="1264" spans="1:10" x14ac:dyDescent="0.2">
      <c r="A1264" t="str">
        <f>"25/07/2021"</f>
        <v>25/07/2021</v>
      </c>
      <c r="B1264">
        <v>1</v>
      </c>
      <c r="C1264">
        <v>173000</v>
      </c>
      <c r="D1264">
        <v>355210</v>
      </c>
      <c r="E1264">
        <v>173000</v>
      </c>
      <c r="F1264">
        <v>173000</v>
      </c>
      <c r="G1264" s="1">
        <v>1E-3</v>
      </c>
      <c r="H1264" s="1">
        <v>1E-3</v>
      </c>
      <c r="I1264" s="1">
        <v>1E-3</v>
      </c>
      <c r="J1264" s="1">
        <v>0.46229999999999999</v>
      </c>
    </row>
    <row r="1265" spans="1:10" x14ac:dyDescent="0.2">
      <c r="A1265" t="str">
        <f>"22/07/2021"</f>
        <v>22/07/2021</v>
      </c>
      <c r="B1265">
        <v>3</v>
      </c>
      <c r="C1265">
        <v>173000</v>
      </c>
      <c r="D1265">
        <v>353130</v>
      </c>
      <c r="E1265">
        <v>173000</v>
      </c>
      <c r="F1265">
        <v>173000</v>
      </c>
      <c r="G1265" s="1">
        <v>1E-3</v>
      </c>
      <c r="H1265" s="1">
        <v>1E-3</v>
      </c>
      <c r="I1265" s="1">
        <v>1E-3</v>
      </c>
      <c r="J1265" s="1">
        <v>0.4637</v>
      </c>
    </row>
    <row r="1266" spans="1:10" x14ac:dyDescent="0.2">
      <c r="A1266" t="str">
        <f>"21/07/2021"</f>
        <v>21/07/2021</v>
      </c>
      <c r="B1266">
        <v>1</v>
      </c>
      <c r="C1266">
        <v>174000</v>
      </c>
      <c r="D1266">
        <v>332656</v>
      </c>
      <c r="E1266">
        <v>174000</v>
      </c>
      <c r="F1266">
        <v>174000</v>
      </c>
      <c r="G1266" s="1">
        <v>1E-3</v>
      </c>
      <c r="H1266" s="1">
        <v>1E-3</v>
      </c>
      <c r="I1266" s="1">
        <v>1E-3</v>
      </c>
      <c r="J1266" s="1">
        <v>0.49540000000000001</v>
      </c>
    </row>
    <row r="1267" spans="1:10" x14ac:dyDescent="0.2">
      <c r="A1267" t="str">
        <f>"20/07/2021"</f>
        <v>20/07/2021</v>
      </c>
      <c r="B1267">
        <v>1</v>
      </c>
      <c r="C1267">
        <v>177000</v>
      </c>
      <c r="D1267">
        <v>362360</v>
      </c>
      <c r="E1267">
        <v>177000</v>
      </c>
      <c r="F1267">
        <v>177000</v>
      </c>
      <c r="G1267" s="1">
        <v>1E-3</v>
      </c>
      <c r="H1267" s="1">
        <v>1E-3</v>
      </c>
      <c r="I1267" s="1">
        <v>1E-3</v>
      </c>
      <c r="J1267" s="1">
        <v>0.45860000000000001</v>
      </c>
    </row>
    <row r="1268" spans="1:10" x14ac:dyDescent="0.2">
      <c r="A1268" t="str">
        <f>"19/07/2021"</f>
        <v>19/07/2021</v>
      </c>
      <c r="B1268">
        <v>1</v>
      </c>
      <c r="C1268">
        <v>180000</v>
      </c>
      <c r="D1268">
        <v>389511</v>
      </c>
      <c r="E1268">
        <v>180000</v>
      </c>
      <c r="F1268">
        <v>180000</v>
      </c>
      <c r="G1268" s="1">
        <v>1E-3</v>
      </c>
      <c r="H1268" s="1">
        <v>1E-3</v>
      </c>
      <c r="I1268" s="1">
        <v>1E-3</v>
      </c>
      <c r="J1268" s="1">
        <v>0.435</v>
      </c>
    </row>
    <row r="1269" spans="1:10" x14ac:dyDescent="0.2">
      <c r="A1269" t="str">
        <f>"15/07/2021"</f>
        <v>15/07/2021</v>
      </c>
      <c r="B1269">
        <v>4</v>
      </c>
      <c r="C1269">
        <v>190000</v>
      </c>
      <c r="D1269">
        <v>436250</v>
      </c>
      <c r="E1269">
        <v>190000</v>
      </c>
      <c r="F1269">
        <v>190000</v>
      </c>
      <c r="G1269" s="1">
        <v>1E-3</v>
      </c>
      <c r="H1269" s="1">
        <v>1E-3</v>
      </c>
      <c r="I1269" s="1">
        <v>1E-3</v>
      </c>
      <c r="J1269" s="1">
        <v>0.4113</v>
      </c>
    </row>
    <row r="1270" spans="1:10" x14ac:dyDescent="0.2">
      <c r="A1270" t="str">
        <f>"14/07/2021"</f>
        <v>14/07/2021</v>
      </c>
      <c r="B1270">
        <v>1</v>
      </c>
      <c r="C1270">
        <v>193000</v>
      </c>
      <c r="D1270">
        <v>461660</v>
      </c>
      <c r="E1270">
        <v>193000</v>
      </c>
      <c r="F1270">
        <v>193000</v>
      </c>
      <c r="G1270" s="1">
        <v>1E-3</v>
      </c>
      <c r="H1270" s="1">
        <v>1E-3</v>
      </c>
      <c r="I1270" s="1">
        <v>1E-3</v>
      </c>
      <c r="J1270" s="1">
        <v>0.39369999999999999</v>
      </c>
    </row>
    <row r="1271" spans="1:10" x14ac:dyDescent="0.2">
      <c r="A1271" t="str">
        <f>"13/07/2021"</f>
        <v>13/07/2021</v>
      </c>
      <c r="B1271">
        <v>1</v>
      </c>
      <c r="C1271">
        <v>194000</v>
      </c>
      <c r="D1271">
        <v>463840</v>
      </c>
      <c r="E1271">
        <v>194000</v>
      </c>
      <c r="F1271">
        <v>194000</v>
      </c>
      <c r="G1271" s="1">
        <v>1E-3</v>
      </c>
      <c r="H1271" s="1">
        <v>1E-3</v>
      </c>
      <c r="I1271" s="1">
        <v>1E-3</v>
      </c>
      <c r="J1271" s="1">
        <v>0.3952</v>
      </c>
    </row>
    <row r="1272" spans="1:10" x14ac:dyDescent="0.2">
      <c r="A1272" t="str">
        <f>"12/07/2021"</f>
        <v>12/07/2021</v>
      </c>
      <c r="B1272">
        <v>1</v>
      </c>
      <c r="C1272">
        <v>197000</v>
      </c>
      <c r="D1272">
        <v>474307</v>
      </c>
      <c r="E1272">
        <v>197000</v>
      </c>
      <c r="F1272">
        <v>197000</v>
      </c>
      <c r="G1272" s="1">
        <v>1E-3</v>
      </c>
      <c r="H1272" s="1">
        <v>1E-3</v>
      </c>
      <c r="I1272" s="1">
        <v>1E-3</v>
      </c>
      <c r="J1272" s="1">
        <v>0.39119999999999999</v>
      </c>
    </row>
    <row r="1273" spans="1:10" x14ac:dyDescent="0.2">
      <c r="A1273" t="str">
        <f>"11/07/2021"</f>
        <v>11/07/2021</v>
      </c>
      <c r="B1273">
        <v>1</v>
      </c>
      <c r="C1273">
        <v>194000</v>
      </c>
      <c r="D1273">
        <v>454060</v>
      </c>
      <c r="E1273">
        <v>194000</v>
      </c>
      <c r="F1273">
        <v>194000</v>
      </c>
      <c r="G1273" s="1">
        <v>1E-3</v>
      </c>
      <c r="H1273" s="1">
        <v>1E-3</v>
      </c>
      <c r="I1273" s="1">
        <v>1E-3</v>
      </c>
      <c r="J1273" s="1">
        <v>0.39850000000000002</v>
      </c>
    </row>
    <row r="1274" spans="1:10" x14ac:dyDescent="0.2">
      <c r="A1274" t="str">
        <f>"08/07/2021"</f>
        <v>08/07/2021</v>
      </c>
      <c r="B1274">
        <v>3</v>
      </c>
      <c r="C1274">
        <v>194000</v>
      </c>
      <c r="D1274">
        <v>407103</v>
      </c>
      <c r="E1274">
        <v>194000</v>
      </c>
      <c r="F1274">
        <v>194000</v>
      </c>
      <c r="G1274" s="1">
        <v>1E-3</v>
      </c>
      <c r="H1274" s="1">
        <v>1E-3</v>
      </c>
      <c r="I1274" s="1">
        <v>1E-3</v>
      </c>
      <c r="J1274" s="1">
        <v>0.44740000000000002</v>
      </c>
    </row>
    <row r="1275" spans="1:10" x14ac:dyDescent="0.2">
      <c r="A1275" t="str">
        <f>"07/07/2021"</f>
        <v>07/07/2021</v>
      </c>
      <c r="B1275">
        <v>1</v>
      </c>
      <c r="C1275">
        <v>188000</v>
      </c>
      <c r="D1275">
        <v>182585</v>
      </c>
      <c r="E1275">
        <v>182585</v>
      </c>
      <c r="F1275">
        <v>182585</v>
      </c>
      <c r="G1275" s="1">
        <v>1E-3</v>
      </c>
      <c r="H1275" s="1">
        <v>1E-3</v>
      </c>
      <c r="I1275" s="1">
        <v>1E-3</v>
      </c>
      <c r="J1275" s="1">
        <v>1</v>
      </c>
    </row>
    <row r="1276" spans="1:10" x14ac:dyDescent="0.2">
      <c r="A1276" t="str">
        <f>"06/07/2021"</f>
        <v>06/07/2021</v>
      </c>
      <c r="B1276">
        <v>1</v>
      </c>
      <c r="C1276">
        <v>197000</v>
      </c>
      <c r="D1276">
        <v>458260</v>
      </c>
      <c r="E1276">
        <v>197000</v>
      </c>
      <c r="F1276">
        <v>197000</v>
      </c>
      <c r="G1276" s="1">
        <v>1E-3</v>
      </c>
      <c r="H1276" s="1">
        <v>1E-3</v>
      </c>
      <c r="I1276" s="1">
        <v>1E-3</v>
      </c>
      <c r="J1276" s="1">
        <v>0.40910000000000002</v>
      </c>
    </row>
    <row r="1277" spans="1:10" x14ac:dyDescent="0.2">
      <c r="A1277" t="str">
        <f>"05/07/2021"</f>
        <v>05/07/2021</v>
      </c>
      <c r="B1277">
        <v>1</v>
      </c>
      <c r="C1277">
        <v>194000</v>
      </c>
      <c r="D1277">
        <v>465480</v>
      </c>
      <c r="E1277">
        <v>194000</v>
      </c>
      <c r="F1277">
        <v>194000</v>
      </c>
      <c r="G1277" s="1">
        <v>1E-3</v>
      </c>
      <c r="H1277" s="1">
        <v>1E-3</v>
      </c>
      <c r="I1277" s="1">
        <v>1E-3</v>
      </c>
      <c r="J1277" s="1">
        <v>0.38829999999999998</v>
      </c>
    </row>
    <row r="1278" spans="1:10" x14ac:dyDescent="0.2">
      <c r="A1278" t="str">
        <f>"04/07/2021"</f>
        <v>04/07/2021</v>
      </c>
      <c r="B1278">
        <v>1</v>
      </c>
      <c r="C1278">
        <v>192000</v>
      </c>
      <c r="D1278">
        <v>459460</v>
      </c>
      <c r="E1278">
        <v>192000</v>
      </c>
      <c r="F1278">
        <v>192000</v>
      </c>
      <c r="G1278" s="1">
        <v>1E-3</v>
      </c>
      <c r="H1278" s="1">
        <v>1E-3</v>
      </c>
      <c r="I1278" s="1">
        <v>1E-3</v>
      </c>
      <c r="J1278" s="1">
        <v>0.39379999999999998</v>
      </c>
    </row>
    <row r="1279" spans="1:10" x14ac:dyDescent="0.2">
      <c r="A1279" t="str">
        <f>"01/07/2021"</f>
        <v>01/07/2021</v>
      </c>
      <c r="B1279">
        <v>3</v>
      </c>
      <c r="C1279">
        <v>192000</v>
      </c>
      <c r="D1279">
        <v>441920</v>
      </c>
      <c r="E1279">
        <v>192000</v>
      </c>
      <c r="F1279">
        <v>192000</v>
      </c>
      <c r="G1279" s="1">
        <v>1E-3</v>
      </c>
      <c r="H1279" s="1">
        <v>1E-3</v>
      </c>
      <c r="I1279" s="1">
        <v>1E-3</v>
      </c>
      <c r="J1279" s="1">
        <v>0.40660000000000002</v>
      </c>
    </row>
    <row r="1280" spans="1:10" x14ac:dyDescent="0.2">
      <c r="A1280" t="str">
        <f>"30/06/2021"</f>
        <v>30/06/2021</v>
      </c>
      <c r="B1280">
        <v>1</v>
      </c>
      <c r="C1280">
        <v>186000</v>
      </c>
      <c r="D1280">
        <v>409188</v>
      </c>
      <c r="E1280">
        <v>186000</v>
      </c>
      <c r="F1280">
        <v>186000</v>
      </c>
      <c r="G1280" s="1">
        <v>1E-3</v>
      </c>
      <c r="H1280" s="1">
        <v>1E-3</v>
      </c>
      <c r="I1280" s="1">
        <v>1E-3</v>
      </c>
      <c r="J1280" s="1">
        <v>0.43509999999999999</v>
      </c>
    </row>
    <row r="1281" spans="1:10" x14ac:dyDescent="0.2">
      <c r="A1281" t="str">
        <f>"29/06/2021"</f>
        <v>29/06/2021</v>
      </c>
      <c r="B1281">
        <v>1</v>
      </c>
      <c r="C1281">
        <v>184000</v>
      </c>
      <c r="D1281">
        <v>404810</v>
      </c>
      <c r="E1281">
        <v>184000</v>
      </c>
      <c r="F1281">
        <v>184000</v>
      </c>
      <c r="G1281" s="1">
        <v>1E-3</v>
      </c>
      <c r="H1281" s="1">
        <v>1E-3</v>
      </c>
      <c r="I1281" s="1">
        <v>1E-3</v>
      </c>
      <c r="J1281" s="1">
        <v>0.4279</v>
      </c>
    </row>
    <row r="1282" spans="1:10" x14ac:dyDescent="0.2">
      <c r="A1282" t="str">
        <f>"28/06/2021"</f>
        <v>28/06/2021</v>
      </c>
      <c r="B1282">
        <v>1</v>
      </c>
      <c r="C1282">
        <v>184000</v>
      </c>
      <c r="D1282">
        <v>402550</v>
      </c>
      <c r="E1282">
        <v>184000</v>
      </c>
      <c r="F1282">
        <v>184000</v>
      </c>
      <c r="G1282" s="1">
        <v>1E-3</v>
      </c>
      <c r="H1282" s="1">
        <v>1E-3</v>
      </c>
      <c r="I1282" s="1">
        <v>1E-3</v>
      </c>
      <c r="J1282" s="1">
        <v>0.42809999999999998</v>
      </c>
    </row>
    <row r="1283" spans="1:10" x14ac:dyDescent="0.2">
      <c r="A1283" t="str">
        <f>"27/06/2021"</f>
        <v>27/06/2021</v>
      </c>
      <c r="B1283">
        <v>1</v>
      </c>
      <c r="C1283">
        <v>179000</v>
      </c>
      <c r="D1283">
        <v>387320</v>
      </c>
      <c r="E1283">
        <v>179000</v>
      </c>
      <c r="F1283">
        <v>179000</v>
      </c>
      <c r="G1283" s="1">
        <v>1E-3</v>
      </c>
      <c r="H1283" s="1">
        <v>1E-3</v>
      </c>
      <c r="I1283" s="1">
        <v>1E-3</v>
      </c>
      <c r="J1283" s="1">
        <v>0.43469999999999998</v>
      </c>
    </row>
    <row r="1284" spans="1:10" x14ac:dyDescent="0.2">
      <c r="A1284" t="str">
        <f>"24/06/2021"</f>
        <v>24/06/2021</v>
      </c>
      <c r="B1284">
        <v>3</v>
      </c>
      <c r="C1284">
        <v>182000</v>
      </c>
      <c r="D1284">
        <v>380810</v>
      </c>
      <c r="E1284">
        <v>182000</v>
      </c>
      <c r="F1284">
        <v>182000</v>
      </c>
      <c r="G1284" s="1">
        <v>1E-3</v>
      </c>
      <c r="H1284" s="1">
        <v>1E-3</v>
      </c>
      <c r="I1284" s="1">
        <v>1E-3</v>
      </c>
      <c r="J1284" s="1">
        <v>0.44979999999999998</v>
      </c>
    </row>
    <row r="1285" spans="1:10" x14ac:dyDescent="0.2">
      <c r="A1285" t="str">
        <f>"23/06/2021"</f>
        <v>23/06/2021</v>
      </c>
      <c r="B1285">
        <v>1</v>
      </c>
      <c r="C1285">
        <v>184000</v>
      </c>
      <c r="D1285">
        <v>389096</v>
      </c>
      <c r="E1285">
        <v>184000</v>
      </c>
      <c r="F1285">
        <v>184000</v>
      </c>
      <c r="G1285" s="1">
        <v>1E-3</v>
      </c>
      <c r="H1285" s="1">
        <v>1E-3</v>
      </c>
      <c r="I1285" s="1">
        <v>1E-3</v>
      </c>
      <c r="J1285" s="1">
        <v>0.44750000000000001</v>
      </c>
    </row>
    <row r="1286" spans="1:10" x14ac:dyDescent="0.2">
      <c r="A1286" t="str">
        <f>"22/06/2021"</f>
        <v>22/06/2021</v>
      </c>
      <c r="B1286">
        <v>1</v>
      </c>
      <c r="C1286">
        <v>188000</v>
      </c>
      <c r="D1286">
        <v>392840</v>
      </c>
      <c r="E1286">
        <v>188000</v>
      </c>
      <c r="F1286">
        <v>188000</v>
      </c>
      <c r="G1286" s="1">
        <v>1E-3</v>
      </c>
      <c r="H1286" s="1">
        <v>1E-3</v>
      </c>
      <c r="I1286" s="1">
        <v>1E-3</v>
      </c>
      <c r="J1286" s="1">
        <v>0.45150000000000001</v>
      </c>
    </row>
    <row r="1287" spans="1:10" x14ac:dyDescent="0.2">
      <c r="A1287" t="str">
        <f>"21/06/2021"</f>
        <v>21/06/2021</v>
      </c>
      <c r="B1287">
        <v>1</v>
      </c>
      <c r="C1287">
        <v>190000</v>
      </c>
      <c r="D1287">
        <v>395000</v>
      </c>
      <c r="E1287">
        <v>190000</v>
      </c>
      <c r="F1287">
        <v>190000</v>
      </c>
      <c r="G1287" s="1">
        <v>1E-3</v>
      </c>
      <c r="H1287" s="1">
        <v>1E-3</v>
      </c>
      <c r="I1287" s="1">
        <v>1E-3</v>
      </c>
      <c r="J1287" s="1">
        <v>0.45429999999999998</v>
      </c>
    </row>
    <row r="1288" spans="1:10" x14ac:dyDescent="0.2">
      <c r="A1288" t="str">
        <f>"20/06/2021"</f>
        <v>20/06/2021</v>
      </c>
      <c r="B1288">
        <v>1</v>
      </c>
      <c r="C1288">
        <v>190000</v>
      </c>
      <c r="D1288">
        <v>404904</v>
      </c>
      <c r="E1288">
        <v>190000</v>
      </c>
      <c r="F1288">
        <v>190000</v>
      </c>
      <c r="G1288" s="1">
        <v>1E-3</v>
      </c>
      <c r="H1288" s="1">
        <v>1E-3</v>
      </c>
      <c r="I1288" s="1">
        <v>1E-3</v>
      </c>
      <c r="J1288" s="1">
        <v>0.44409999999999999</v>
      </c>
    </row>
    <row r="1289" spans="1:10" x14ac:dyDescent="0.2">
      <c r="A1289" t="str">
        <f>"17/06/2021"</f>
        <v>17/06/2021</v>
      </c>
      <c r="B1289">
        <v>3</v>
      </c>
      <c r="C1289">
        <v>191000</v>
      </c>
      <c r="D1289">
        <v>386240</v>
      </c>
      <c r="E1289">
        <v>191000</v>
      </c>
      <c r="F1289">
        <v>191000</v>
      </c>
      <c r="G1289" s="1">
        <v>1E-3</v>
      </c>
      <c r="H1289" s="1">
        <v>1E-3</v>
      </c>
      <c r="I1289" s="1">
        <v>1E-3</v>
      </c>
      <c r="J1289" s="1">
        <v>0.46920000000000001</v>
      </c>
    </row>
    <row r="1290" spans="1:10" x14ac:dyDescent="0.2">
      <c r="A1290" t="str">
        <f>"16/06/2021"</f>
        <v>16/06/2021</v>
      </c>
      <c r="B1290">
        <v>1</v>
      </c>
      <c r="C1290">
        <v>193000</v>
      </c>
      <c r="D1290">
        <v>394829</v>
      </c>
      <c r="E1290">
        <v>193000</v>
      </c>
      <c r="F1290">
        <v>193000</v>
      </c>
      <c r="G1290" s="1">
        <v>1E-3</v>
      </c>
      <c r="H1290" s="1">
        <v>1E-3</v>
      </c>
      <c r="I1290" s="1">
        <v>1E-3</v>
      </c>
      <c r="J1290" s="1">
        <v>0.46279999999999999</v>
      </c>
    </row>
    <row r="1291" spans="1:10" x14ac:dyDescent="0.2">
      <c r="A1291" t="str">
        <f>"15/06/2021"</f>
        <v>15/06/2021</v>
      </c>
      <c r="B1291">
        <v>1</v>
      </c>
      <c r="C1291">
        <v>198000</v>
      </c>
      <c r="D1291">
        <v>409971</v>
      </c>
      <c r="E1291">
        <v>198000</v>
      </c>
      <c r="F1291">
        <v>198000</v>
      </c>
      <c r="G1291" s="1">
        <v>1E-3</v>
      </c>
      <c r="H1291" s="1">
        <v>1E-3</v>
      </c>
      <c r="I1291" s="1">
        <v>1E-3</v>
      </c>
      <c r="J1291" s="1">
        <v>0.4556</v>
      </c>
    </row>
    <row r="1292" spans="1:10" x14ac:dyDescent="0.2">
      <c r="A1292" t="str">
        <f>"14/06/2021"</f>
        <v>14/06/2021</v>
      </c>
      <c r="B1292">
        <v>1</v>
      </c>
      <c r="C1292">
        <v>200000</v>
      </c>
      <c r="D1292">
        <v>415095</v>
      </c>
      <c r="E1292">
        <v>200000</v>
      </c>
      <c r="F1292">
        <v>200000</v>
      </c>
      <c r="G1292" s="1">
        <v>1E-3</v>
      </c>
      <c r="H1292" s="1">
        <v>1E-3</v>
      </c>
      <c r="I1292" s="1">
        <v>1E-3</v>
      </c>
      <c r="J1292" s="1">
        <v>0.45329999999999998</v>
      </c>
    </row>
    <row r="1293" spans="1:10" x14ac:dyDescent="0.2">
      <c r="A1293" t="str">
        <f>"13/06/2021"</f>
        <v>13/06/2021</v>
      </c>
      <c r="B1293">
        <v>1</v>
      </c>
      <c r="C1293">
        <v>200000</v>
      </c>
      <c r="D1293">
        <v>413730</v>
      </c>
      <c r="E1293">
        <v>200000</v>
      </c>
      <c r="F1293">
        <v>200000</v>
      </c>
      <c r="G1293" s="1">
        <v>1E-3</v>
      </c>
      <c r="H1293" s="1">
        <v>1E-3</v>
      </c>
      <c r="I1293" s="1">
        <v>1E-3</v>
      </c>
      <c r="J1293" s="1">
        <v>0.45569999999999999</v>
      </c>
    </row>
    <row r="1294" spans="1:10" x14ac:dyDescent="0.2">
      <c r="A1294" t="str">
        <f>"10/06/2021"</f>
        <v>10/06/2021</v>
      </c>
      <c r="B1294">
        <v>3</v>
      </c>
      <c r="C1294">
        <v>198000</v>
      </c>
      <c r="D1294">
        <v>417750</v>
      </c>
      <c r="E1294">
        <v>198000</v>
      </c>
      <c r="F1294">
        <v>198000</v>
      </c>
      <c r="G1294" s="1">
        <v>1E-3</v>
      </c>
      <c r="H1294" s="1">
        <v>1E-3</v>
      </c>
      <c r="I1294" s="1">
        <v>1E-3</v>
      </c>
      <c r="J1294" s="1">
        <v>0.44640000000000002</v>
      </c>
    </row>
    <row r="1295" spans="1:10" x14ac:dyDescent="0.2">
      <c r="A1295" t="str">
        <f>"09/06/2021"</f>
        <v>09/06/2021</v>
      </c>
      <c r="B1295">
        <v>1</v>
      </c>
      <c r="C1295">
        <v>197000</v>
      </c>
      <c r="D1295">
        <v>422398</v>
      </c>
      <c r="E1295">
        <v>197000</v>
      </c>
      <c r="F1295">
        <v>197000</v>
      </c>
      <c r="G1295" s="1">
        <v>1E-3</v>
      </c>
      <c r="H1295" s="1">
        <v>1E-3</v>
      </c>
      <c r="I1295" s="1">
        <v>1E-3</v>
      </c>
      <c r="J1295" s="1">
        <v>0.43830000000000002</v>
      </c>
    </row>
    <row r="1296" spans="1:10" x14ac:dyDescent="0.2">
      <c r="A1296" t="str">
        <f>"08/06/2021"</f>
        <v>08/06/2021</v>
      </c>
      <c r="B1296">
        <v>1</v>
      </c>
      <c r="C1296">
        <v>196000</v>
      </c>
      <c r="D1296">
        <v>441040</v>
      </c>
      <c r="E1296">
        <v>196000</v>
      </c>
      <c r="F1296">
        <v>196000</v>
      </c>
      <c r="G1296" s="1">
        <v>1E-3</v>
      </c>
      <c r="H1296" s="1">
        <v>1E-3</v>
      </c>
      <c r="I1296" s="1">
        <v>1E-3</v>
      </c>
      <c r="J1296" s="1">
        <v>0.4168</v>
      </c>
    </row>
    <row r="1297" spans="1:10" x14ac:dyDescent="0.2">
      <c r="A1297" t="str">
        <f>"07/06/2021"</f>
        <v>07/06/2021</v>
      </c>
      <c r="B1297">
        <v>1</v>
      </c>
      <c r="C1297">
        <v>197000</v>
      </c>
      <c r="D1297">
        <v>444953</v>
      </c>
      <c r="E1297">
        <v>197000</v>
      </c>
      <c r="F1297">
        <v>197000</v>
      </c>
      <c r="G1297" s="1">
        <v>1E-3</v>
      </c>
      <c r="H1297" s="1">
        <v>1E-3</v>
      </c>
      <c r="I1297" s="1">
        <v>1E-3</v>
      </c>
      <c r="J1297" s="1">
        <v>0.41439999999999999</v>
      </c>
    </row>
    <row r="1298" spans="1:10" x14ac:dyDescent="0.2">
      <c r="A1298" t="str">
        <f>"06/06/2021"</f>
        <v>06/06/2021</v>
      </c>
      <c r="B1298">
        <v>1</v>
      </c>
      <c r="C1298">
        <v>194000</v>
      </c>
      <c r="D1298">
        <v>427820</v>
      </c>
      <c r="E1298">
        <v>194000</v>
      </c>
      <c r="F1298">
        <v>194000</v>
      </c>
      <c r="G1298" s="1">
        <v>1E-3</v>
      </c>
      <c r="H1298" s="1">
        <v>1E-3</v>
      </c>
      <c r="I1298" s="1">
        <v>1E-3</v>
      </c>
      <c r="J1298" s="1">
        <v>0.42759999999999998</v>
      </c>
    </row>
    <row r="1299" spans="1:10" x14ac:dyDescent="0.2">
      <c r="A1299" t="str">
        <f>"03/06/2021"</f>
        <v>03/06/2021</v>
      </c>
      <c r="B1299">
        <v>3</v>
      </c>
      <c r="C1299">
        <v>195000</v>
      </c>
      <c r="D1299">
        <v>382038</v>
      </c>
      <c r="E1299">
        <v>195000</v>
      </c>
      <c r="F1299">
        <v>195000</v>
      </c>
      <c r="G1299" s="1">
        <v>1E-3</v>
      </c>
      <c r="H1299" s="1">
        <v>1E-3</v>
      </c>
      <c r="I1299" s="1">
        <v>1E-3</v>
      </c>
      <c r="J1299" s="1">
        <v>0.48480000000000001</v>
      </c>
    </row>
    <row r="1300" spans="1:10" x14ac:dyDescent="0.2">
      <c r="A1300" t="str">
        <f>"02/06/2021"</f>
        <v>02/06/2021</v>
      </c>
      <c r="B1300">
        <v>1</v>
      </c>
      <c r="C1300">
        <v>186000</v>
      </c>
      <c r="D1300">
        <v>181481</v>
      </c>
      <c r="E1300">
        <v>181481</v>
      </c>
      <c r="F1300">
        <v>181481</v>
      </c>
      <c r="G1300" s="1">
        <v>1E-3</v>
      </c>
      <c r="H1300" s="1">
        <v>1E-3</v>
      </c>
      <c r="I1300" s="1">
        <v>1E-3</v>
      </c>
      <c r="J1300" s="1">
        <v>1</v>
      </c>
    </row>
    <row r="1301" spans="1:10" x14ac:dyDescent="0.2">
      <c r="A1301" t="str">
        <f>"01/06/2021"</f>
        <v>01/06/2021</v>
      </c>
      <c r="B1301">
        <v>1</v>
      </c>
      <c r="C1301">
        <v>203000</v>
      </c>
      <c r="D1301">
        <v>469966</v>
      </c>
      <c r="E1301">
        <v>203000</v>
      </c>
      <c r="F1301">
        <v>203000</v>
      </c>
      <c r="G1301" s="1">
        <v>1E-3</v>
      </c>
      <c r="H1301" s="1">
        <v>1E-3</v>
      </c>
      <c r="I1301" s="1">
        <v>1E-3</v>
      </c>
      <c r="J1301" s="1">
        <v>0.37790000000000001</v>
      </c>
    </row>
    <row r="1302" spans="1:10" x14ac:dyDescent="0.2">
      <c r="A1302" t="str">
        <f>"31/05/2021"</f>
        <v>31/05/2021</v>
      </c>
      <c r="B1302">
        <v>1</v>
      </c>
      <c r="C1302">
        <v>193000</v>
      </c>
      <c r="D1302">
        <v>438936</v>
      </c>
      <c r="E1302">
        <v>193000</v>
      </c>
      <c r="F1302">
        <v>193000</v>
      </c>
      <c r="G1302" s="1">
        <v>1E-3</v>
      </c>
      <c r="H1302" s="1">
        <v>1E-3</v>
      </c>
      <c r="I1302" s="1">
        <v>1E-3</v>
      </c>
      <c r="J1302" s="1">
        <v>0.41170000000000001</v>
      </c>
    </row>
    <row r="1303" spans="1:10" x14ac:dyDescent="0.2">
      <c r="A1303" t="str">
        <f>"30/05/2021"</f>
        <v>30/05/2021</v>
      </c>
      <c r="B1303">
        <v>1</v>
      </c>
      <c r="C1303">
        <v>184000</v>
      </c>
      <c r="D1303">
        <v>392410</v>
      </c>
      <c r="E1303">
        <v>184000</v>
      </c>
      <c r="F1303">
        <v>184000</v>
      </c>
      <c r="G1303" s="1">
        <v>1E-3</v>
      </c>
      <c r="H1303" s="1">
        <v>1E-3</v>
      </c>
      <c r="I1303" s="1">
        <v>1E-3</v>
      </c>
      <c r="J1303" s="1">
        <v>0.43980000000000002</v>
      </c>
    </row>
    <row r="1304" spans="1:10" x14ac:dyDescent="0.2">
      <c r="A1304" t="str">
        <f>"27/05/2021"</f>
        <v>27/05/2021</v>
      </c>
      <c r="B1304">
        <v>3</v>
      </c>
      <c r="C1304">
        <v>184000</v>
      </c>
      <c r="D1304">
        <v>378370</v>
      </c>
      <c r="E1304">
        <v>184000</v>
      </c>
      <c r="F1304">
        <v>184000</v>
      </c>
      <c r="G1304" s="1">
        <v>1E-3</v>
      </c>
      <c r="H1304" s="1">
        <v>1E-3</v>
      </c>
      <c r="I1304" s="1">
        <v>1E-3</v>
      </c>
      <c r="J1304" s="1">
        <v>0.45929999999999999</v>
      </c>
    </row>
    <row r="1305" spans="1:10" x14ac:dyDescent="0.2">
      <c r="A1305" t="str">
        <f>"26/05/2021"</f>
        <v>26/05/2021</v>
      </c>
      <c r="B1305">
        <v>1</v>
      </c>
      <c r="C1305">
        <v>178000</v>
      </c>
      <c r="D1305">
        <v>356421</v>
      </c>
      <c r="E1305">
        <v>178000</v>
      </c>
      <c r="F1305">
        <v>178000</v>
      </c>
      <c r="G1305" s="1">
        <v>1E-3</v>
      </c>
      <c r="H1305" s="1">
        <v>1E-3</v>
      </c>
      <c r="I1305" s="1">
        <v>1E-3</v>
      </c>
      <c r="J1305" s="1">
        <v>0.47349999999999998</v>
      </c>
    </row>
    <row r="1306" spans="1:10" x14ac:dyDescent="0.2">
      <c r="A1306" t="str">
        <f>"25/05/2021"</f>
        <v>25/05/2021</v>
      </c>
      <c r="B1306">
        <v>1</v>
      </c>
      <c r="C1306">
        <v>181000</v>
      </c>
      <c r="D1306">
        <v>366520</v>
      </c>
      <c r="E1306">
        <v>181000</v>
      </c>
      <c r="F1306">
        <v>181000</v>
      </c>
      <c r="G1306" s="1">
        <v>1E-3</v>
      </c>
      <c r="H1306" s="1">
        <v>1E-3</v>
      </c>
      <c r="I1306" s="1">
        <v>1E-3</v>
      </c>
      <c r="J1306" s="1">
        <v>0.46960000000000002</v>
      </c>
    </row>
    <row r="1307" spans="1:10" x14ac:dyDescent="0.2">
      <c r="A1307" t="str">
        <f>"24/05/2021"</f>
        <v>24/05/2021</v>
      </c>
      <c r="B1307">
        <v>1</v>
      </c>
      <c r="C1307">
        <v>181000</v>
      </c>
      <c r="D1307">
        <v>375288</v>
      </c>
      <c r="E1307">
        <v>181000</v>
      </c>
      <c r="F1307">
        <v>181000</v>
      </c>
      <c r="G1307" s="1">
        <v>1E-3</v>
      </c>
      <c r="H1307" s="1">
        <v>1E-3</v>
      </c>
      <c r="I1307" s="1">
        <v>1E-3</v>
      </c>
      <c r="J1307" s="1">
        <v>0.45600000000000002</v>
      </c>
    </row>
    <row r="1308" spans="1:10" x14ac:dyDescent="0.2">
      <c r="A1308" t="str">
        <f>"23/05/2021"</f>
        <v>23/05/2021</v>
      </c>
      <c r="B1308">
        <v>1</v>
      </c>
      <c r="C1308">
        <v>183000</v>
      </c>
      <c r="D1308">
        <v>372320</v>
      </c>
      <c r="E1308">
        <v>183000</v>
      </c>
      <c r="F1308">
        <v>183000</v>
      </c>
      <c r="G1308" s="1">
        <v>1E-3</v>
      </c>
      <c r="H1308" s="1">
        <v>1E-3</v>
      </c>
      <c r="I1308" s="1">
        <v>1E-3</v>
      </c>
      <c r="J1308" s="1">
        <v>0.4672</v>
      </c>
    </row>
    <row r="1309" spans="1:10" x14ac:dyDescent="0.2">
      <c r="A1309" t="str">
        <f>"20/05/2021"</f>
        <v>20/05/2021</v>
      </c>
      <c r="B1309">
        <v>3</v>
      </c>
      <c r="C1309">
        <v>184000</v>
      </c>
      <c r="D1309">
        <v>369405</v>
      </c>
      <c r="E1309">
        <v>184000</v>
      </c>
      <c r="F1309">
        <v>184000</v>
      </c>
      <c r="G1309" s="1">
        <v>1E-3</v>
      </c>
      <c r="H1309" s="1">
        <v>1E-3</v>
      </c>
      <c r="I1309" s="1">
        <v>1E-3</v>
      </c>
      <c r="J1309" s="1">
        <v>0.47239999999999999</v>
      </c>
    </row>
    <row r="1310" spans="1:10" x14ac:dyDescent="0.2">
      <c r="A1310" t="str">
        <f>"19/05/2021"</f>
        <v>19/05/2021</v>
      </c>
      <c r="B1310">
        <v>1</v>
      </c>
      <c r="C1310">
        <v>188000</v>
      </c>
      <c r="D1310">
        <v>368253</v>
      </c>
      <c r="E1310">
        <v>188000</v>
      </c>
      <c r="F1310">
        <v>188000</v>
      </c>
      <c r="G1310" s="1">
        <v>1E-3</v>
      </c>
      <c r="H1310" s="1">
        <v>1E-3</v>
      </c>
      <c r="I1310" s="1">
        <v>1E-3</v>
      </c>
      <c r="J1310" s="1">
        <v>0.4829</v>
      </c>
    </row>
    <row r="1311" spans="1:10" x14ac:dyDescent="0.2">
      <c r="A1311" t="str">
        <f>"18/05/2021"</f>
        <v>18/05/2021</v>
      </c>
      <c r="B1311">
        <v>1</v>
      </c>
      <c r="C1311">
        <v>193000</v>
      </c>
      <c r="D1311">
        <v>379717</v>
      </c>
      <c r="E1311">
        <v>193000</v>
      </c>
      <c r="F1311">
        <v>193000</v>
      </c>
      <c r="G1311" s="1">
        <v>1E-3</v>
      </c>
      <c r="H1311" s="1">
        <v>1E-3</v>
      </c>
      <c r="I1311" s="1">
        <v>1E-3</v>
      </c>
      <c r="J1311" s="1">
        <v>0.4803</v>
      </c>
    </row>
    <row r="1312" spans="1:10" x14ac:dyDescent="0.2">
      <c r="A1312" t="str">
        <f>"13/05/2021"</f>
        <v>13/05/2021</v>
      </c>
      <c r="B1312">
        <v>5</v>
      </c>
      <c r="C1312">
        <v>195000</v>
      </c>
      <c r="D1312">
        <v>390000</v>
      </c>
      <c r="E1312">
        <v>195000</v>
      </c>
      <c r="F1312">
        <v>195000</v>
      </c>
      <c r="G1312" s="1">
        <v>1E-3</v>
      </c>
      <c r="H1312" s="1">
        <v>1E-3</v>
      </c>
      <c r="I1312" s="1">
        <v>1E-3</v>
      </c>
      <c r="J1312" s="1">
        <v>0.47449999999999998</v>
      </c>
    </row>
    <row r="1313" spans="1:10" x14ac:dyDescent="0.2">
      <c r="A1313" t="str">
        <f>"12/05/2021"</f>
        <v>12/05/2021</v>
      </c>
      <c r="B1313">
        <v>1</v>
      </c>
      <c r="C1313">
        <v>196000</v>
      </c>
      <c r="D1313">
        <v>399917</v>
      </c>
      <c r="E1313">
        <v>196000</v>
      </c>
      <c r="F1313">
        <v>196000</v>
      </c>
      <c r="G1313" s="1">
        <v>1E-3</v>
      </c>
      <c r="H1313" s="1">
        <v>1E-3</v>
      </c>
      <c r="I1313" s="1">
        <v>1E-3</v>
      </c>
      <c r="J1313" s="1">
        <v>0.46150000000000002</v>
      </c>
    </row>
    <row r="1314" spans="1:10" x14ac:dyDescent="0.2">
      <c r="A1314" t="str">
        <f>"11/05/2021"</f>
        <v>11/05/2021</v>
      </c>
      <c r="B1314">
        <v>1</v>
      </c>
      <c r="C1314">
        <v>196000</v>
      </c>
      <c r="D1314">
        <v>400880</v>
      </c>
      <c r="E1314">
        <v>196000</v>
      </c>
      <c r="F1314">
        <v>196000</v>
      </c>
      <c r="G1314" s="1">
        <v>1E-3</v>
      </c>
      <c r="H1314" s="1">
        <v>1E-3</v>
      </c>
      <c r="I1314" s="1">
        <v>1E-3</v>
      </c>
      <c r="J1314" s="1">
        <v>0.46079999999999999</v>
      </c>
    </row>
    <row r="1315" spans="1:10" x14ac:dyDescent="0.2">
      <c r="A1315" t="str">
        <f>"10/05/2021"</f>
        <v>10/05/2021</v>
      </c>
      <c r="B1315">
        <v>1</v>
      </c>
      <c r="C1315">
        <v>198000</v>
      </c>
      <c r="D1315">
        <v>406589</v>
      </c>
      <c r="E1315">
        <v>198000</v>
      </c>
      <c r="F1315">
        <v>198000</v>
      </c>
      <c r="G1315" s="1">
        <v>1E-3</v>
      </c>
      <c r="H1315" s="1">
        <v>1E-3</v>
      </c>
      <c r="I1315" s="1">
        <v>1E-3</v>
      </c>
      <c r="J1315" s="1">
        <v>0.45760000000000001</v>
      </c>
    </row>
    <row r="1316" spans="1:10" x14ac:dyDescent="0.2">
      <c r="A1316" t="str">
        <f>"09/05/2021"</f>
        <v>09/05/2021</v>
      </c>
      <c r="B1316">
        <v>1</v>
      </c>
      <c r="C1316">
        <v>196000</v>
      </c>
      <c r="D1316">
        <v>397060</v>
      </c>
      <c r="E1316">
        <v>196000</v>
      </c>
      <c r="F1316">
        <v>196000</v>
      </c>
      <c r="G1316" s="1">
        <v>1E-3</v>
      </c>
      <c r="H1316" s="1">
        <v>1E-3</v>
      </c>
      <c r="I1316" s="1">
        <v>1E-3</v>
      </c>
      <c r="J1316" s="1">
        <v>0.46360000000000001</v>
      </c>
    </row>
    <row r="1317" spans="1:10" x14ac:dyDescent="0.2">
      <c r="A1317" t="str">
        <f>"06/05/2021"</f>
        <v>06/05/2021</v>
      </c>
      <c r="B1317">
        <v>3</v>
      </c>
      <c r="C1317">
        <v>193000</v>
      </c>
      <c r="D1317">
        <v>403773</v>
      </c>
      <c r="E1317">
        <v>193000</v>
      </c>
      <c r="F1317">
        <v>193000</v>
      </c>
      <c r="G1317" s="1">
        <v>1E-3</v>
      </c>
      <c r="H1317" s="1">
        <v>1E-3</v>
      </c>
      <c r="I1317" s="1">
        <v>1E-3</v>
      </c>
      <c r="J1317" s="1">
        <v>0.44969999999999999</v>
      </c>
    </row>
    <row r="1318" spans="1:10" x14ac:dyDescent="0.2">
      <c r="A1318" t="str">
        <f>"05/05/2021"</f>
        <v>05/05/2021</v>
      </c>
      <c r="B1318">
        <v>1</v>
      </c>
      <c r="C1318">
        <v>194000</v>
      </c>
      <c r="D1318">
        <v>402335</v>
      </c>
      <c r="E1318">
        <v>194000</v>
      </c>
      <c r="F1318">
        <v>194000</v>
      </c>
      <c r="G1318" s="1">
        <v>1E-3</v>
      </c>
      <c r="H1318" s="1">
        <v>1E-3</v>
      </c>
      <c r="I1318" s="1">
        <v>1E-3</v>
      </c>
      <c r="J1318" s="1">
        <v>0.45319999999999999</v>
      </c>
    </row>
    <row r="1319" spans="1:10" x14ac:dyDescent="0.2">
      <c r="A1319" t="str">
        <f>"04/05/2021"</f>
        <v>04/05/2021</v>
      </c>
      <c r="B1319">
        <v>1</v>
      </c>
      <c r="C1319">
        <v>195000</v>
      </c>
      <c r="D1319">
        <v>414996</v>
      </c>
      <c r="E1319">
        <v>195000</v>
      </c>
      <c r="F1319">
        <v>195000</v>
      </c>
      <c r="G1319" s="1">
        <v>1E-3</v>
      </c>
      <c r="H1319" s="1">
        <v>1E-3</v>
      </c>
      <c r="I1319" s="1">
        <v>1E-3</v>
      </c>
      <c r="J1319" s="1">
        <v>0.43890000000000001</v>
      </c>
    </row>
    <row r="1320" spans="1:10" x14ac:dyDescent="0.2">
      <c r="A1320" t="str">
        <f>"03/05/2021"</f>
        <v>03/05/2021</v>
      </c>
      <c r="B1320">
        <v>1</v>
      </c>
      <c r="C1320">
        <v>194000</v>
      </c>
      <c r="D1320">
        <v>409292</v>
      </c>
      <c r="E1320">
        <v>194000</v>
      </c>
      <c r="F1320">
        <v>194000</v>
      </c>
      <c r="G1320" s="1">
        <v>1E-3</v>
      </c>
      <c r="H1320" s="1">
        <v>1E-3</v>
      </c>
      <c r="I1320" s="1">
        <v>1E-3</v>
      </c>
      <c r="J1320" s="1">
        <v>0.44309999999999999</v>
      </c>
    </row>
    <row r="1321" spans="1:10" x14ac:dyDescent="0.2">
      <c r="A1321" t="str">
        <f>"02/05/2021"</f>
        <v>02/05/2021</v>
      </c>
      <c r="B1321">
        <v>1</v>
      </c>
      <c r="C1321">
        <v>193000</v>
      </c>
      <c r="D1321">
        <v>385540</v>
      </c>
      <c r="E1321">
        <v>193000</v>
      </c>
      <c r="F1321">
        <v>193000</v>
      </c>
      <c r="G1321" s="1">
        <v>1E-3</v>
      </c>
      <c r="H1321" s="1">
        <v>1E-3</v>
      </c>
      <c r="I1321" s="1">
        <v>1E-3</v>
      </c>
      <c r="J1321" s="1">
        <v>0.46889999999999998</v>
      </c>
    </row>
    <row r="1322" spans="1:10" x14ac:dyDescent="0.2">
      <c r="A1322" t="str">
        <f>"29/04/2021"</f>
        <v>29/04/2021</v>
      </c>
      <c r="B1322">
        <v>3</v>
      </c>
      <c r="C1322">
        <v>182000</v>
      </c>
      <c r="D1322">
        <v>379670</v>
      </c>
      <c r="E1322">
        <v>182000</v>
      </c>
      <c r="F1322">
        <v>182000</v>
      </c>
      <c r="G1322" s="1">
        <v>1E-3</v>
      </c>
      <c r="H1322" s="1">
        <v>1E-3</v>
      </c>
      <c r="I1322" s="1">
        <v>1E-3</v>
      </c>
      <c r="J1322" s="1">
        <v>0.44979999999999998</v>
      </c>
    </row>
    <row r="1323" spans="1:10" x14ac:dyDescent="0.2">
      <c r="A1323" t="str">
        <f>"28/04/2021"</f>
        <v>28/04/2021</v>
      </c>
      <c r="B1323">
        <v>1</v>
      </c>
      <c r="C1323">
        <v>179000</v>
      </c>
      <c r="D1323">
        <v>363650</v>
      </c>
      <c r="E1323">
        <v>179000</v>
      </c>
      <c r="F1323">
        <v>179000</v>
      </c>
      <c r="G1323" s="1">
        <v>1E-3</v>
      </c>
      <c r="H1323" s="1">
        <v>1E-3</v>
      </c>
      <c r="I1323" s="1">
        <v>1E-3</v>
      </c>
      <c r="J1323" s="1">
        <v>0.46139999999999998</v>
      </c>
    </row>
    <row r="1324" spans="1:10" x14ac:dyDescent="0.2">
      <c r="A1324" t="str">
        <f>"27/04/2021"</f>
        <v>27/04/2021</v>
      </c>
      <c r="B1324">
        <v>1</v>
      </c>
      <c r="C1324">
        <v>180000</v>
      </c>
      <c r="D1324">
        <v>377710</v>
      </c>
      <c r="E1324">
        <v>180000</v>
      </c>
      <c r="F1324">
        <v>180000</v>
      </c>
      <c r="G1324" s="1">
        <v>1E-3</v>
      </c>
      <c r="H1324" s="1">
        <v>1E-3</v>
      </c>
      <c r="I1324" s="1">
        <v>1E-3</v>
      </c>
      <c r="J1324" s="1">
        <v>0.44519999999999998</v>
      </c>
    </row>
    <row r="1325" spans="1:10" x14ac:dyDescent="0.2">
      <c r="A1325" t="str">
        <f>"26/04/2021"</f>
        <v>26/04/2021</v>
      </c>
      <c r="B1325">
        <v>1</v>
      </c>
      <c r="C1325">
        <v>184000</v>
      </c>
      <c r="D1325">
        <v>400568</v>
      </c>
      <c r="E1325">
        <v>184000</v>
      </c>
      <c r="F1325">
        <v>184000</v>
      </c>
      <c r="G1325" s="1">
        <v>1E-3</v>
      </c>
      <c r="H1325" s="1">
        <v>1E-3</v>
      </c>
      <c r="I1325" s="1">
        <v>1E-3</v>
      </c>
      <c r="J1325" s="1">
        <v>0.42809999999999998</v>
      </c>
    </row>
    <row r="1326" spans="1:10" x14ac:dyDescent="0.2">
      <c r="A1326" t="str">
        <f>"25/04/2021"</f>
        <v>25/04/2021</v>
      </c>
      <c r="B1326">
        <v>1</v>
      </c>
      <c r="C1326">
        <v>183000</v>
      </c>
      <c r="D1326">
        <v>403504</v>
      </c>
      <c r="E1326">
        <v>183000</v>
      </c>
      <c r="F1326">
        <v>183000</v>
      </c>
      <c r="G1326" s="1">
        <v>1E-3</v>
      </c>
      <c r="H1326" s="1">
        <v>1E-3</v>
      </c>
      <c r="I1326" s="1">
        <v>1E-3</v>
      </c>
      <c r="J1326" s="1">
        <v>0.42359999999999998</v>
      </c>
    </row>
    <row r="1327" spans="1:10" x14ac:dyDescent="0.2">
      <c r="A1327" t="str">
        <f>"22/04/2021"</f>
        <v>22/04/2021</v>
      </c>
      <c r="B1327">
        <v>3</v>
      </c>
      <c r="C1327">
        <v>181000</v>
      </c>
      <c r="D1327">
        <v>348404</v>
      </c>
      <c r="E1327">
        <v>181000</v>
      </c>
      <c r="F1327">
        <v>181000</v>
      </c>
      <c r="G1327" s="1">
        <v>1E-3</v>
      </c>
      <c r="H1327" s="1">
        <v>1E-3</v>
      </c>
      <c r="I1327" s="1">
        <v>1E-3</v>
      </c>
      <c r="J1327" s="1">
        <v>0.48949999999999999</v>
      </c>
    </row>
    <row r="1328" spans="1:10" x14ac:dyDescent="0.2">
      <c r="A1328" t="str">
        <f>"21/04/2021"</f>
        <v>21/04/2021</v>
      </c>
      <c r="B1328">
        <v>1</v>
      </c>
      <c r="C1328">
        <v>172000</v>
      </c>
      <c r="D1328">
        <v>167580</v>
      </c>
      <c r="E1328">
        <v>167580</v>
      </c>
      <c r="F1328">
        <v>167580</v>
      </c>
      <c r="G1328" s="1">
        <v>1E-3</v>
      </c>
      <c r="H1328" s="1">
        <v>1E-3</v>
      </c>
      <c r="I1328" s="1">
        <v>1E-3</v>
      </c>
      <c r="J1328" s="1">
        <v>1</v>
      </c>
    </row>
    <row r="1329" spans="1:10" x14ac:dyDescent="0.2">
      <c r="A1329" t="str">
        <f>"20/04/2021"</f>
        <v>20/04/2021</v>
      </c>
      <c r="B1329">
        <v>1</v>
      </c>
      <c r="C1329">
        <v>167000</v>
      </c>
      <c r="D1329">
        <v>406139</v>
      </c>
      <c r="E1329">
        <v>167000</v>
      </c>
      <c r="F1329">
        <v>167000</v>
      </c>
      <c r="G1329" s="1">
        <v>1E-3</v>
      </c>
      <c r="H1329" s="1">
        <v>1E-3</v>
      </c>
      <c r="I1329" s="1">
        <v>1E-3</v>
      </c>
      <c r="J1329" s="1">
        <v>0.37140000000000001</v>
      </c>
    </row>
    <row r="1330" spans="1:10" x14ac:dyDescent="0.2">
      <c r="A1330" t="str">
        <f>"19/04/2021"</f>
        <v>19/04/2021</v>
      </c>
      <c r="B1330">
        <v>1</v>
      </c>
      <c r="C1330">
        <v>171000</v>
      </c>
      <c r="D1330">
        <v>406217</v>
      </c>
      <c r="E1330">
        <v>171000</v>
      </c>
      <c r="F1330">
        <v>171000</v>
      </c>
      <c r="G1330" s="1">
        <v>1E-3</v>
      </c>
      <c r="H1330" s="1">
        <v>1E-3</v>
      </c>
      <c r="I1330" s="1">
        <v>1E-3</v>
      </c>
      <c r="J1330" s="1">
        <v>0.3896</v>
      </c>
    </row>
    <row r="1331" spans="1:10" x14ac:dyDescent="0.2">
      <c r="A1331" t="str">
        <f>"18/04/2021"</f>
        <v>18/04/2021</v>
      </c>
      <c r="B1331">
        <v>1</v>
      </c>
      <c r="C1331">
        <v>173000</v>
      </c>
      <c r="D1331">
        <v>379715</v>
      </c>
      <c r="E1331">
        <v>173000</v>
      </c>
      <c r="F1331">
        <v>173000</v>
      </c>
      <c r="G1331" s="1">
        <v>1E-3</v>
      </c>
      <c r="H1331" s="1">
        <v>1E-3</v>
      </c>
      <c r="I1331" s="1">
        <v>1E-3</v>
      </c>
      <c r="J1331" s="1">
        <v>0.42570000000000002</v>
      </c>
    </row>
    <row r="1332" spans="1:10" x14ac:dyDescent="0.2">
      <c r="A1332" t="str">
        <f>"13/04/2021"</f>
        <v>13/04/2021</v>
      </c>
      <c r="B1332">
        <v>5</v>
      </c>
      <c r="C1332">
        <v>180000</v>
      </c>
      <c r="D1332">
        <v>372260</v>
      </c>
      <c r="E1332">
        <v>180000</v>
      </c>
      <c r="F1332">
        <v>180000</v>
      </c>
      <c r="G1332" s="1">
        <v>1E-3</v>
      </c>
      <c r="H1332" s="1">
        <v>1E-3</v>
      </c>
      <c r="I1332" s="1">
        <v>1E-3</v>
      </c>
      <c r="J1332" s="1">
        <v>0.45579999999999998</v>
      </c>
    </row>
    <row r="1333" spans="1:10" x14ac:dyDescent="0.2">
      <c r="A1333" t="str">
        <f>"12/04/2021"</f>
        <v>12/04/2021</v>
      </c>
      <c r="B1333">
        <v>1</v>
      </c>
      <c r="C1333">
        <v>182000</v>
      </c>
      <c r="D1333">
        <v>378864</v>
      </c>
      <c r="E1333">
        <v>182000</v>
      </c>
      <c r="F1333">
        <v>182000</v>
      </c>
      <c r="G1333" s="1">
        <v>1E-3</v>
      </c>
      <c r="H1333" s="1">
        <v>1E-3</v>
      </c>
      <c r="I1333" s="1">
        <v>1E-3</v>
      </c>
      <c r="J1333" s="1">
        <v>0.45069999999999999</v>
      </c>
    </row>
    <row r="1334" spans="1:10" x14ac:dyDescent="0.2">
      <c r="A1334" t="str">
        <f>"11/04/2021"</f>
        <v>11/04/2021</v>
      </c>
      <c r="B1334">
        <v>1</v>
      </c>
      <c r="C1334">
        <v>177000</v>
      </c>
      <c r="D1334">
        <v>368081</v>
      </c>
      <c r="E1334">
        <v>177000</v>
      </c>
      <c r="F1334">
        <v>177000</v>
      </c>
      <c r="G1334" s="1">
        <v>1E-3</v>
      </c>
      <c r="H1334" s="1">
        <v>1E-3</v>
      </c>
      <c r="I1334" s="1">
        <v>1E-3</v>
      </c>
      <c r="J1334" s="1">
        <v>0.45129999999999998</v>
      </c>
    </row>
    <row r="1335" spans="1:10" x14ac:dyDescent="0.2">
      <c r="A1335" t="str">
        <f>"08/04/2021"</f>
        <v>08/04/2021</v>
      </c>
      <c r="B1335">
        <v>3</v>
      </c>
      <c r="C1335">
        <v>177000</v>
      </c>
      <c r="D1335">
        <v>377380</v>
      </c>
      <c r="E1335">
        <v>177000</v>
      </c>
      <c r="F1335">
        <v>177000</v>
      </c>
      <c r="G1335" s="1">
        <v>1E-3</v>
      </c>
      <c r="H1335" s="1">
        <v>1E-3</v>
      </c>
      <c r="I1335" s="1">
        <v>1E-3</v>
      </c>
      <c r="J1335" s="1">
        <v>0.4405</v>
      </c>
    </row>
    <row r="1336" spans="1:10" x14ac:dyDescent="0.2">
      <c r="A1336" t="str">
        <f>"07/04/2021"</f>
        <v>07/04/2021</v>
      </c>
      <c r="B1336">
        <v>1</v>
      </c>
      <c r="C1336">
        <v>177000</v>
      </c>
      <c r="D1336">
        <v>386423</v>
      </c>
      <c r="E1336">
        <v>177000</v>
      </c>
      <c r="F1336">
        <v>177000</v>
      </c>
      <c r="G1336" s="1">
        <v>1E-3</v>
      </c>
      <c r="H1336" s="1">
        <v>1E-3</v>
      </c>
      <c r="I1336" s="1">
        <v>1E-3</v>
      </c>
      <c r="J1336" s="1">
        <v>0.43009999999999998</v>
      </c>
    </row>
    <row r="1337" spans="1:10" x14ac:dyDescent="0.2">
      <c r="A1337" t="str">
        <f>"06/04/2021"</f>
        <v>06/04/2021</v>
      </c>
      <c r="B1337">
        <v>1</v>
      </c>
      <c r="C1337">
        <v>181000</v>
      </c>
      <c r="D1337">
        <v>393090</v>
      </c>
      <c r="E1337">
        <v>181000</v>
      </c>
      <c r="F1337">
        <v>181000</v>
      </c>
      <c r="G1337" s="1">
        <v>1E-3</v>
      </c>
      <c r="H1337" s="1">
        <v>1E-3</v>
      </c>
      <c r="I1337" s="1">
        <v>1E-3</v>
      </c>
      <c r="J1337" s="1">
        <v>0.42930000000000001</v>
      </c>
    </row>
    <row r="1338" spans="1:10" x14ac:dyDescent="0.2">
      <c r="A1338" t="str">
        <f>"05/04/2021"</f>
        <v>05/04/2021</v>
      </c>
      <c r="B1338">
        <v>1</v>
      </c>
      <c r="C1338">
        <v>181000</v>
      </c>
      <c r="D1338">
        <v>388285</v>
      </c>
      <c r="E1338">
        <v>181000</v>
      </c>
      <c r="F1338">
        <v>181000</v>
      </c>
      <c r="G1338" s="1">
        <v>1E-3</v>
      </c>
      <c r="H1338" s="1">
        <v>1E-3</v>
      </c>
      <c r="I1338" s="1">
        <v>1E-3</v>
      </c>
      <c r="J1338" s="1">
        <v>0.43519999999999998</v>
      </c>
    </row>
    <row r="1339" spans="1:10" x14ac:dyDescent="0.2">
      <c r="A1339" t="str">
        <f>"04/04/2021"</f>
        <v>04/04/2021</v>
      </c>
      <c r="B1339">
        <v>1</v>
      </c>
      <c r="C1339">
        <v>181000</v>
      </c>
      <c r="D1339">
        <v>392423</v>
      </c>
      <c r="E1339">
        <v>181000</v>
      </c>
      <c r="F1339">
        <v>181000</v>
      </c>
      <c r="G1339" s="1">
        <v>1E-3</v>
      </c>
      <c r="H1339" s="1">
        <v>1E-3</v>
      </c>
      <c r="I1339" s="1">
        <v>1E-3</v>
      </c>
      <c r="J1339" s="1">
        <v>0.43140000000000001</v>
      </c>
    </row>
    <row r="1340" spans="1:10" x14ac:dyDescent="0.2">
      <c r="A1340" t="str">
        <f>"01/04/2021"</f>
        <v>01/04/2021</v>
      </c>
      <c r="B1340">
        <v>3</v>
      </c>
      <c r="C1340">
        <v>186000</v>
      </c>
      <c r="D1340">
        <v>383640</v>
      </c>
      <c r="E1340">
        <v>186000</v>
      </c>
      <c r="F1340">
        <v>186000</v>
      </c>
      <c r="G1340" s="1">
        <v>1E-3</v>
      </c>
      <c r="H1340" s="1">
        <v>1E-3</v>
      </c>
      <c r="I1340" s="1">
        <v>1E-3</v>
      </c>
      <c r="J1340" s="1">
        <v>0.45729999999999998</v>
      </c>
    </row>
    <row r="1341" spans="1:10" x14ac:dyDescent="0.2">
      <c r="A1341" t="str">
        <f>"31/03/2021"</f>
        <v>31/03/2021</v>
      </c>
      <c r="B1341">
        <v>1</v>
      </c>
      <c r="C1341">
        <v>179000</v>
      </c>
      <c r="D1341">
        <v>382500</v>
      </c>
      <c r="E1341">
        <v>179000</v>
      </c>
      <c r="F1341">
        <v>179000</v>
      </c>
      <c r="G1341" s="1">
        <v>1E-3</v>
      </c>
      <c r="H1341" s="1">
        <v>1E-3</v>
      </c>
      <c r="I1341" s="1">
        <v>1E-3</v>
      </c>
      <c r="J1341" s="1">
        <v>0.44640000000000002</v>
      </c>
    </row>
    <row r="1342" spans="1:10" x14ac:dyDescent="0.2">
      <c r="A1342" t="str">
        <f>"30/03/2021"</f>
        <v>30/03/2021</v>
      </c>
      <c r="B1342">
        <v>1</v>
      </c>
      <c r="C1342">
        <v>176000</v>
      </c>
      <c r="D1342">
        <v>373120</v>
      </c>
      <c r="E1342">
        <v>176000</v>
      </c>
      <c r="F1342">
        <v>176000</v>
      </c>
      <c r="G1342" s="1">
        <v>1E-3</v>
      </c>
      <c r="H1342" s="1">
        <v>1E-3</v>
      </c>
      <c r="I1342" s="1">
        <v>1E-3</v>
      </c>
      <c r="J1342" s="1">
        <v>0.44500000000000001</v>
      </c>
    </row>
    <row r="1343" spans="1:10" x14ac:dyDescent="0.2">
      <c r="A1343" t="str">
        <f>"29/03/2021"</f>
        <v>29/03/2021</v>
      </c>
      <c r="B1343">
        <v>1</v>
      </c>
      <c r="C1343">
        <v>176000</v>
      </c>
      <c r="D1343">
        <v>367910</v>
      </c>
      <c r="E1343">
        <v>176000</v>
      </c>
      <c r="F1343">
        <v>176000</v>
      </c>
      <c r="G1343" s="1">
        <v>1E-3</v>
      </c>
      <c r="H1343" s="1">
        <v>1E-3</v>
      </c>
      <c r="I1343" s="1">
        <v>1E-3</v>
      </c>
      <c r="J1343" s="1">
        <v>0.4501</v>
      </c>
    </row>
    <row r="1344" spans="1:10" x14ac:dyDescent="0.2">
      <c r="A1344" t="str">
        <f>"25/03/2021"</f>
        <v>25/03/2021</v>
      </c>
      <c r="B1344">
        <v>4</v>
      </c>
      <c r="C1344">
        <v>176000</v>
      </c>
      <c r="D1344">
        <v>363550</v>
      </c>
      <c r="E1344">
        <v>176000</v>
      </c>
      <c r="F1344">
        <v>176000</v>
      </c>
      <c r="G1344" s="1">
        <v>1E-3</v>
      </c>
      <c r="H1344" s="1">
        <v>1E-3</v>
      </c>
      <c r="I1344" s="1">
        <v>1E-3</v>
      </c>
      <c r="J1344" s="1">
        <v>0.4597</v>
      </c>
    </row>
    <row r="1345" spans="1:10" x14ac:dyDescent="0.2">
      <c r="A1345" t="str">
        <f>"24/03/2021"</f>
        <v>24/03/2021</v>
      </c>
      <c r="B1345">
        <v>1</v>
      </c>
      <c r="C1345">
        <v>182000</v>
      </c>
      <c r="D1345">
        <v>391344</v>
      </c>
      <c r="E1345">
        <v>182000</v>
      </c>
      <c r="F1345">
        <v>182000</v>
      </c>
      <c r="G1345" s="1">
        <v>1E-3</v>
      </c>
      <c r="H1345" s="1">
        <v>1E-3</v>
      </c>
      <c r="I1345" s="1">
        <v>1E-3</v>
      </c>
      <c r="J1345" s="1">
        <v>0.43740000000000001</v>
      </c>
    </row>
    <row r="1346" spans="1:10" x14ac:dyDescent="0.2">
      <c r="A1346" t="str">
        <f>"22/03/2021"</f>
        <v>22/03/2021</v>
      </c>
      <c r="B1346">
        <v>2</v>
      </c>
      <c r="C1346">
        <v>186000</v>
      </c>
      <c r="D1346">
        <v>388852</v>
      </c>
      <c r="E1346">
        <v>186000</v>
      </c>
      <c r="F1346">
        <v>186000</v>
      </c>
      <c r="G1346" s="1">
        <v>1E-3</v>
      </c>
      <c r="H1346" s="1">
        <v>1E-3</v>
      </c>
      <c r="I1346" s="1">
        <v>1E-3</v>
      </c>
      <c r="J1346" s="1">
        <v>0.45190000000000002</v>
      </c>
    </row>
    <row r="1347" spans="1:10" x14ac:dyDescent="0.2">
      <c r="A1347" t="str">
        <f>"21/03/2021"</f>
        <v>21/03/2021</v>
      </c>
      <c r="B1347">
        <v>1</v>
      </c>
      <c r="C1347">
        <v>184000</v>
      </c>
      <c r="D1347">
        <v>377095</v>
      </c>
      <c r="E1347">
        <v>184000</v>
      </c>
      <c r="F1347">
        <v>184000</v>
      </c>
      <c r="G1347" s="1">
        <v>1E-3</v>
      </c>
      <c r="H1347" s="1">
        <v>1E-3</v>
      </c>
      <c r="I1347" s="1">
        <v>1E-3</v>
      </c>
      <c r="J1347" s="1">
        <v>0.46110000000000001</v>
      </c>
    </row>
    <row r="1348" spans="1:10" x14ac:dyDescent="0.2">
      <c r="A1348" t="str">
        <f>"18/03/2021"</f>
        <v>18/03/2021</v>
      </c>
      <c r="B1348">
        <v>3</v>
      </c>
      <c r="C1348">
        <v>184000</v>
      </c>
      <c r="D1348">
        <v>370454</v>
      </c>
      <c r="E1348">
        <v>184000</v>
      </c>
      <c r="F1348">
        <v>184000</v>
      </c>
      <c r="G1348" s="1">
        <v>1E-3</v>
      </c>
      <c r="H1348" s="1">
        <v>1E-3</v>
      </c>
      <c r="I1348" s="1">
        <v>1E-3</v>
      </c>
      <c r="J1348" s="1">
        <v>0.46989999999999998</v>
      </c>
    </row>
    <row r="1349" spans="1:10" x14ac:dyDescent="0.2">
      <c r="A1349" t="str">
        <f>"17/03/2021"</f>
        <v>17/03/2021</v>
      </c>
      <c r="B1349">
        <v>1</v>
      </c>
      <c r="C1349">
        <v>184000</v>
      </c>
      <c r="D1349">
        <v>374876</v>
      </c>
      <c r="E1349">
        <v>184000</v>
      </c>
      <c r="F1349">
        <v>184000</v>
      </c>
      <c r="G1349" s="1">
        <v>1E-3</v>
      </c>
      <c r="H1349" s="1">
        <v>1E-3</v>
      </c>
      <c r="I1349" s="1">
        <v>1E-3</v>
      </c>
      <c r="J1349" s="1">
        <v>0.46289999999999998</v>
      </c>
    </row>
    <row r="1350" spans="1:10" x14ac:dyDescent="0.2">
      <c r="A1350" t="str">
        <f>"16/03/2021"</f>
        <v>16/03/2021</v>
      </c>
      <c r="B1350">
        <v>1</v>
      </c>
      <c r="C1350">
        <v>185000</v>
      </c>
      <c r="D1350">
        <v>400317</v>
      </c>
      <c r="E1350">
        <v>185000</v>
      </c>
      <c r="F1350">
        <v>185000</v>
      </c>
      <c r="G1350" s="1">
        <v>1E-3</v>
      </c>
      <c r="H1350" s="1">
        <v>1E-3</v>
      </c>
      <c r="I1350" s="1">
        <v>1E-3</v>
      </c>
      <c r="J1350" s="1">
        <v>0.43459999999999999</v>
      </c>
    </row>
    <row r="1351" spans="1:10" x14ac:dyDescent="0.2">
      <c r="A1351" t="str">
        <f>"15/03/2021"</f>
        <v>15/03/2021</v>
      </c>
      <c r="B1351">
        <v>1</v>
      </c>
      <c r="C1351">
        <v>195000</v>
      </c>
      <c r="D1351">
        <v>411441</v>
      </c>
      <c r="E1351">
        <v>195000</v>
      </c>
      <c r="F1351">
        <v>195000</v>
      </c>
      <c r="G1351" s="1">
        <v>1E-3</v>
      </c>
      <c r="H1351" s="1">
        <v>1E-3</v>
      </c>
      <c r="I1351" s="1">
        <v>1E-3</v>
      </c>
      <c r="J1351" s="1">
        <v>0.44529999999999997</v>
      </c>
    </row>
    <row r="1352" spans="1:10" x14ac:dyDescent="0.2">
      <c r="A1352" t="str">
        <f>"14/03/2021"</f>
        <v>14/03/2021</v>
      </c>
      <c r="B1352">
        <v>1</v>
      </c>
      <c r="C1352">
        <v>195000</v>
      </c>
      <c r="D1352">
        <v>406530</v>
      </c>
      <c r="E1352">
        <v>195000</v>
      </c>
      <c r="F1352">
        <v>195000</v>
      </c>
      <c r="G1352" s="1">
        <v>1E-3</v>
      </c>
      <c r="H1352" s="1">
        <v>1E-3</v>
      </c>
      <c r="I1352" s="1">
        <v>1E-3</v>
      </c>
      <c r="J1352" s="1">
        <v>0.44919999999999999</v>
      </c>
    </row>
    <row r="1353" spans="1:10" x14ac:dyDescent="0.2">
      <c r="A1353" t="str">
        <f>"11/03/2021"</f>
        <v>11/03/2021</v>
      </c>
      <c r="B1353">
        <v>3</v>
      </c>
      <c r="C1353">
        <v>194000</v>
      </c>
      <c r="D1353">
        <v>405050</v>
      </c>
      <c r="E1353">
        <v>194000</v>
      </c>
      <c r="F1353">
        <v>194000</v>
      </c>
      <c r="G1353" s="1">
        <v>1E-3</v>
      </c>
      <c r="H1353" s="1">
        <v>1E-3</v>
      </c>
      <c r="I1353" s="1">
        <v>1E-3</v>
      </c>
      <c r="J1353" s="1">
        <v>0.45250000000000001</v>
      </c>
    </row>
    <row r="1354" spans="1:10" x14ac:dyDescent="0.2">
      <c r="A1354" t="str">
        <f>"10/03/2021"</f>
        <v>10/03/2021</v>
      </c>
      <c r="B1354">
        <v>1</v>
      </c>
      <c r="C1354">
        <v>193000</v>
      </c>
      <c r="D1354">
        <v>408410</v>
      </c>
      <c r="E1354">
        <v>193000</v>
      </c>
      <c r="F1354">
        <v>193000</v>
      </c>
      <c r="G1354" s="1">
        <v>1E-3</v>
      </c>
      <c r="H1354" s="1">
        <v>1E-3</v>
      </c>
      <c r="I1354" s="1">
        <v>1E-3</v>
      </c>
      <c r="J1354" s="1">
        <v>0.44400000000000001</v>
      </c>
    </row>
    <row r="1355" spans="1:10" x14ac:dyDescent="0.2">
      <c r="A1355" t="str">
        <f>"09/03/2021"</f>
        <v>09/03/2021</v>
      </c>
      <c r="B1355">
        <v>1</v>
      </c>
      <c r="C1355">
        <v>193000</v>
      </c>
      <c r="D1355">
        <v>415471</v>
      </c>
      <c r="E1355">
        <v>193000</v>
      </c>
      <c r="F1355">
        <v>193000</v>
      </c>
      <c r="G1355" s="1">
        <v>1E-3</v>
      </c>
      <c r="H1355" s="1">
        <v>1E-3</v>
      </c>
      <c r="I1355" s="1">
        <v>1E-3</v>
      </c>
      <c r="J1355" s="1">
        <v>0.43630000000000002</v>
      </c>
    </row>
    <row r="1356" spans="1:10" x14ac:dyDescent="0.2">
      <c r="A1356" t="str">
        <f>"08/03/2021"</f>
        <v>08/03/2021</v>
      </c>
      <c r="B1356">
        <v>1</v>
      </c>
      <c r="C1356">
        <v>195000</v>
      </c>
      <c r="D1356">
        <v>421300</v>
      </c>
      <c r="E1356">
        <v>195000</v>
      </c>
      <c r="F1356">
        <v>195000</v>
      </c>
      <c r="G1356" s="1">
        <v>1E-3</v>
      </c>
      <c r="H1356" s="1">
        <v>1E-3</v>
      </c>
      <c r="I1356" s="1">
        <v>1E-3</v>
      </c>
      <c r="J1356" s="1">
        <v>0.43309999999999998</v>
      </c>
    </row>
    <row r="1357" spans="1:10" x14ac:dyDescent="0.2">
      <c r="A1357" t="str">
        <f>"07/03/2021"</f>
        <v>07/03/2021</v>
      </c>
      <c r="B1357">
        <v>1</v>
      </c>
      <c r="C1357">
        <v>194000</v>
      </c>
      <c r="D1357">
        <v>417314</v>
      </c>
      <c r="E1357">
        <v>194000</v>
      </c>
      <c r="F1357">
        <v>194000</v>
      </c>
      <c r="G1357" s="1">
        <v>1E-3</v>
      </c>
      <c r="H1357" s="1">
        <v>1E-3</v>
      </c>
      <c r="I1357" s="1">
        <v>1E-3</v>
      </c>
      <c r="J1357" s="1">
        <v>0.43569999999999998</v>
      </c>
    </row>
    <row r="1358" spans="1:10" x14ac:dyDescent="0.2">
      <c r="A1358" t="str">
        <f>"04/03/2021"</f>
        <v>04/03/2021</v>
      </c>
      <c r="B1358">
        <v>3</v>
      </c>
      <c r="C1358">
        <v>195000</v>
      </c>
      <c r="D1358">
        <v>412750</v>
      </c>
      <c r="E1358">
        <v>195000</v>
      </c>
      <c r="F1358">
        <v>195000</v>
      </c>
      <c r="G1358" s="1">
        <v>1E-3</v>
      </c>
      <c r="H1358" s="1">
        <v>1E-3</v>
      </c>
      <c r="I1358" s="1">
        <v>1E-3</v>
      </c>
      <c r="J1358" s="1">
        <v>0.44519999999999998</v>
      </c>
    </row>
    <row r="1359" spans="1:10" x14ac:dyDescent="0.2">
      <c r="A1359" t="str">
        <f>"03/03/2021"</f>
        <v>03/03/2021</v>
      </c>
      <c r="B1359">
        <v>1</v>
      </c>
      <c r="C1359">
        <v>192000</v>
      </c>
      <c r="D1359">
        <v>434006</v>
      </c>
      <c r="E1359">
        <v>192000</v>
      </c>
      <c r="F1359">
        <v>192000</v>
      </c>
      <c r="G1359" s="1">
        <v>1E-3</v>
      </c>
      <c r="H1359" s="1">
        <v>1E-3</v>
      </c>
      <c r="I1359" s="1">
        <v>1E-3</v>
      </c>
      <c r="J1359" s="1">
        <v>0.4148</v>
      </c>
    </row>
    <row r="1360" spans="1:10" x14ac:dyDescent="0.2">
      <c r="A1360" t="str">
        <f>"02/03/2021"</f>
        <v>02/03/2021</v>
      </c>
      <c r="B1360">
        <v>1</v>
      </c>
      <c r="C1360">
        <v>197000</v>
      </c>
      <c r="D1360">
        <v>439350</v>
      </c>
      <c r="E1360">
        <v>197000</v>
      </c>
      <c r="F1360">
        <v>197000</v>
      </c>
      <c r="G1360" s="1">
        <v>1E-3</v>
      </c>
      <c r="H1360" s="1">
        <v>1E-3</v>
      </c>
      <c r="I1360" s="1">
        <v>1E-3</v>
      </c>
      <c r="J1360" s="1">
        <v>0.41830000000000001</v>
      </c>
    </row>
    <row r="1361" spans="1:10" x14ac:dyDescent="0.2">
      <c r="A1361" t="str">
        <f>"01/03/2021"</f>
        <v>01/03/2021</v>
      </c>
      <c r="B1361">
        <v>1</v>
      </c>
      <c r="C1361">
        <v>199000</v>
      </c>
      <c r="D1361">
        <v>454818</v>
      </c>
      <c r="E1361">
        <v>199000</v>
      </c>
      <c r="F1361">
        <v>199000</v>
      </c>
      <c r="G1361" s="1">
        <v>1E-3</v>
      </c>
      <c r="H1361" s="1">
        <v>1E-3</v>
      </c>
      <c r="I1361" s="1">
        <v>1E-3</v>
      </c>
      <c r="J1361" s="1">
        <v>0.40610000000000002</v>
      </c>
    </row>
    <row r="1362" spans="1:10" x14ac:dyDescent="0.2">
      <c r="A1362" t="str">
        <f>"28/02/2021"</f>
        <v>28/02/2021</v>
      </c>
      <c r="B1362">
        <v>1</v>
      </c>
      <c r="C1362">
        <v>191000</v>
      </c>
      <c r="D1362">
        <v>412345</v>
      </c>
      <c r="E1362">
        <v>191000</v>
      </c>
      <c r="F1362">
        <v>191000</v>
      </c>
      <c r="G1362" s="1">
        <v>1E-3</v>
      </c>
      <c r="H1362" s="1">
        <v>1E-3</v>
      </c>
      <c r="I1362" s="1">
        <v>1E-3</v>
      </c>
      <c r="J1362" s="1">
        <v>0.43580000000000002</v>
      </c>
    </row>
    <row r="1363" spans="1:10" x14ac:dyDescent="0.2">
      <c r="A1363" t="str">
        <f>"25/02/2021"</f>
        <v>25/02/2021</v>
      </c>
      <c r="B1363">
        <v>3</v>
      </c>
      <c r="C1363">
        <v>180000</v>
      </c>
      <c r="D1363">
        <v>338185</v>
      </c>
      <c r="E1363">
        <v>180000</v>
      </c>
      <c r="F1363">
        <v>180000</v>
      </c>
      <c r="G1363" s="1">
        <v>1E-3</v>
      </c>
      <c r="H1363" s="1">
        <v>1E-3</v>
      </c>
      <c r="I1363" s="1">
        <v>1E-3</v>
      </c>
      <c r="J1363" s="1">
        <v>0.50280000000000002</v>
      </c>
    </row>
    <row r="1364" spans="1:10" x14ac:dyDescent="0.2">
      <c r="A1364" t="str">
        <f>"24/02/2021"</f>
        <v>24/02/2021</v>
      </c>
      <c r="B1364">
        <v>1</v>
      </c>
      <c r="C1364">
        <v>165000</v>
      </c>
      <c r="D1364">
        <v>160513</v>
      </c>
      <c r="E1364">
        <v>160513</v>
      </c>
      <c r="F1364">
        <v>160513</v>
      </c>
      <c r="G1364" s="1">
        <v>1E-3</v>
      </c>
      <c r="H1364" s="1">
        <v>1E-3</v>
      </c>
      <c r="I1364" s="1">
        <v>1E-3</v>
      </c>
      <c r="J1364" s="1">
        <v>1</v>
      </c>
    </row>
    <row r="1365" spans="1:10" x14ac:dyDescent="0.2">
      <c r="A1365" t="str">
        <f>"23/02/2021"</f>
        <v>23/02/2021</v>
      </c>
      <c r="B1365">
        <v>1</v>
      </c>
      <c r="C1365">
        <v>188000</v>
      </c>
      <c r="D1365">
        <v>391045</v>
      </c>
      <c r="E1365">
        <v>188000</v>
      </c>
      <c r="F1365">
        <v>188000</v>
      </c>
      <c r="G1365" s="1">
        <v>1E-3</v>
      </c>
      <c r="H1365" s="1">
        <v>1E-3</v>
      </c>
      <c r="I1365" s="1">
        <v>1E-3</v>
      </c>
      <c r="J1365" s="1">
        <v>0.45429999999999998</v>
      </c>
    </row>
    <row r="1366" spans="1:10" x14ac:dyDescent="0.2">
      <c r="A1366" t="str">
        <f>"22/02/2021"</f>
        <v>22/02/2021</v>
      </c>
      <c r="B1366">
        <v>1</v>
      </c>
      <c r="C1366">
        <v>186000</v>
      </c>
      <c r="D1366">
        <v>387194</v>
      </c>
      <c r="E1366">
        <v>186000</v>
      </c>
      <c r="F1366">
        <v>186000</v>
      </c>
      <c r="G1366" s="1">
        <v>1E-3</v>
      </c>
      <c r="H1366" s="1">
        <v>1E-3</v>
      </c>
      <c r="I1366" s="1">
        <v>1E-3</v>
      </c>
      <c r="J1366" s="1">
        <v>0.43809999999999999</v>
      </c>
    </row>
    <row r="1367" spans="1:10" x14ac:dyDescent="0.2">
      <c r="A1367" t="str">
        <f>"21/02/2021"</f>
        <v>21/02/2021</v>
      </c>
      <c r="B1367">
        <v>1</v>
      </c>
      <c r="C1367">
        <v>181000</v>
      </c>
      <c r="D1367">
        <v>396557</v>
      </c>
      <c r="E1367">
        <v>181000</v>
      </c>
      <c r="F1367">
        <v>181000</v>
      </c>
      <c r="G1367" s="1">
        <v>1E-3</v>
      </c>
      <c r="H1367" s="1">
        <v>1E-3</v>
      </c>
      <c r="I1367" s="1">
        <v>1E-3</v>
      </c>
      <c r="J1367" s="1">
        <v>0.42959999999999998</v>
      </c>
    </row>
    <row r="1368" spans="1:10" x14ac:dyDescent="0.2">
      <c r="A1368" t="str">
        <f>"18/02/2021"</f>
        <v>18/02/2021</v>
      </c>
      <c r="B1368">
        <v>3</v>
      </c>
      <c r="C1368">
        <v>183000</v>
      </c>
      <c r="D1368">
        <v>397590</v>
      </c>
      <c r="E1368">
        <v>183000</v>
      </c>
      <c r="F1368">
        <v>183000</v>
      </c>
      <c r="G1368" s="1">
        <v>1E-3</v>
      </c>
      <c r="H1368" s="1">
        <v>1E-3</v>
      </c>
      <c r="I1368" s="1">
        <v>1E-3</v>
      </c>
      <c r="J1368" s="1">
        <v>0.43380000000000002</v>
      </c>
    </row>
    <row r="1369" spans="1:10" x14ac:dyDescent="0.2">
      <c r="A1369" t="str">
        <f>"17/02/2021"</f>
        <v>17/02/2021</v>
      </c>
      <c r="B1369">
        <v>1</v>
      </c>
      <c r="C1369">
        <v>181000</v>
      </c>
      <c r="D1369">
        <v>394347</v>
      </c>
      <c r="E1369">
        <v>181000</v>
      </c>
      <c r="F1369">
        <v>181000</v>
      </c>
      <c r="G1369" s="1">
        <v>1E-3</v>
      </c>
      <c r="H1369" s="1">
        <v>1E-3</v>
      </c>
      <c r="I1369" s="1">
        <v>1E-3</v>
      </c>
      <c r="J1369" s="1">
        <v>0.43099999999999999</v>
      </c>
    </row>
    <row r="1370" spans="1:10" x14ac:dyDescent="0.2">
      <c r="A1370" t="str">
        <f>"16/02/2021"</f>
        <v>16/02/2021</v>
      </c>
      <c r="B1370">
        <v>1</v>
      </c>
      <c r="C1370">
        <v>182000</v>
      </c>
      <c r="D1370">
        <v>408930</v>
      </c>
      <c r="E1370">
        <v>182000</v>
      </c>
      <c r="F1370">
        <v>182000</v>
      </c>
      <c r="G1370" s="1">
        <v>1E-3</v>
      </c>
      <c r="H1370" s="1">
        <v>1E-3</v>
      </c>
      <c r="I1370" s="1">
        <v>1E-3</v>
      </c>
      <c r="J1370" s="1">
        <v>0.41909999999999997</v>
      </c>
    </row>
    <row r="1371" spans="1:10" x14ac:dyDescent="0.2">
      <c r="A1371" t="str">
        <f>"15/02/2021"</f>
        <v>15/02/2021</v>
      </c>
      <c r="B1371">
        <v>1</v>
      </c>
      <c r="C1371">
        <v>187000</v>
      </c>
      <c r="D1371">
        <v>426824</v>
      </c>
      <c r="E1371">
        <v>187000</v>
      </c>
      <c r="F1371">
        <v>187000</v>
      </c>
      <c r="G1371" s="1">
        <v>1E-3</v>
      </c>
      <c r="H1371" s="1">
        <v>1E-3</v>
      </c>
      <c r="I1371" s="1">
        <v>1E-3</v>
      </c>
      <c r="J1371" s="1">
        <v>0.4123</v>
      </c>
    </row>
    <row r="1372" spans="1:10" x14ac:dyDescent="0.2">
      <c r="A1372" t="str">
        <f>"14/02/2021"</f>
        <v>14/02/2021</v>
      </c>
      <c r="B1372">
        <v>1</v>
      </c>
      <c r="C1372">
        <v>187000</v>
      </c>
      <c r="D1372">
        <v>413300</v>
      </c>
      <c r="E1372">
        <v>187000</v>
      </c>
      <c r="F1372">
        <v>187000</v>
      </c>
      <c r="G1372" s="1">
        <v>1E-3</v>
      </c>
      <c r="H1372" s="1">
        <v>1E-3</v>
      </c>
      <c r="I1372" s="1">
        <v>1E-3</v>
      </c>
      <c r="J1372" s="1">
        <v>0.42470000000000002</v>
      </c>
    </row>
    <row r="1373" spans="1:10" x14ac:dyDescent="0.2">
      <c r="A1373" t="str">
        <f>"11/02/2021"</f>
        <v>11/02/2021</v>
      </c>
      <c r="B1373">
        <v>3</v>
      </c>
      <c r="C1373">
        <v>187000</v>
      </c>
      <c r="D1373">
        <v>393670</v>
      </c>
      <c r="E1373">
        <v>187000</v>
      </c>
      <c r="F1373">
        <v>187000</v>
      </c>
      <c r="G1373" s="1">
        <v>1E-3</v>
      </c>
      <c r="H1373" s="1">
        <v>1E-3</v>
      </c>
      <c r="I1373" s="1">
        <v>1E-3</v>
      </c>
      <c r="J1373" s="1">
        <v>0.44879999999999998</v>
      </c>
    </row>
    <row r="1374" spans="1:10" x14ac:dyDescent="0.2">
      <c r="A1374" t="str">
        <f>"10/02/2021"</f>
        <v>10/02/2021</v>
      </c>
      <c r="B1374">
        <v>1</v>
      </c>
      <c r="C1374">
        <v>180000</v>
      </c>
      <c r="D1374">
        <v>391186</v>
      </c>
      <c r="E1374">
        <v>180000</v>
      </c>
      <c r="F1374">
        <v>180000</v>
      </c>
      <c r="G1374" s="1">
        <v>1E-3</v>
      </c>
      <c r="H1374" s="1">
        <v>1E-3</v>
      </c>
      <c r="I1374" s="1">
        <v>1E-3</v>
      </c>
      <c r="J1374" s="1">
        <v>0.43290000000000001</v>
      </c>
    </row>
    <row r="1375" spans="1:10" x14ac:dyDescent="0.2">
      <c r="A1375" t="str">
        <f>"09/02/2021"</f>
        <v>09/02/2021</v>
      </c>
      <c r="B1375">
        <v>1</v>
      </c>
      <c r="C1375">
        <v>180000</v>
      </c>
      <c r="D1375">
        <v>395583</v>
      </c>
      <c r="E1375">
        <v>180000</v>
      </c>
      <c r="F1375">
        <v>180000</v>
      </c>
      <c r="G1375" s="1">
        <v>1E-3</v>
      </c>
      <c r="H1375" s="1">
        <v>1E-3</v>
      </c>
      <c r="I1375" s="1">
        <v>1E-3</v>
      </c>
      <c r="J1375" s="1">
        <v>0.42909999999999998</v>
      </c>
    </row>
    <row r="1376" spans="1:10" x14ac:dyDescent="0.2">
      <c r="A1376" t="str">
        <f>"08/02/2021"</f>
        <v>08/02/2021</v>
      </c>
      <c r="B1376">
        <v>1</v>
      </c>
      <c r="C1376">
        <v>180000</v>
      </c>
      <c r="D1376">
        <v>397527</v>
      </c>
      <c r="E1376">
        <v>180000</v>
      </c>
      <c r="F1376">
        <v>180000</v>
      </c>
      <c r="G1376" s="1">
        <v>1E-3</v>
      </c>
      <c r="H1376" s="1">
        <v>1E-3</v>
      </c>
      <c r="I1376" s="1">
        <v>1E-3</v>
      </c>
      <c r="J1376" s="1">
        <v>0.42609999999999998</v>
      </c>
    </row>
    <row r="1377" spans="1:10" x14ac:dyDescent="0.2">
      <c r="A1377" t="str">
        <f>"07/02/2021"</f>
        <v>07/02/2021</v>
      </c>
      <c r="B1377">
        <v>1</v>
      </c>
      <c r="C1377">
        <v>179000</v>
      </c>
      <c r="D1377">
        <v>386602</v>
      </c>
      <c r="E1377">
        <v>179000</v>
      </c>
      <c r="F1377">
        <v>179000</v>
      </c>
      <c r="G1377" s="1">
        <v>1E-3</v>
      </c>
      <c r="H1377" s="1">
        <v>1E-3</v>
      </c>
      <c r="I1377" s="1">
        <v>1E-3</v>
      </c>
      <c r="J1377" s="1">
        <v>0.43569999999999998</v>
      </c>
    </row>
    <row r="1378" spans="1:10" x14ac:dyDescent="0.2">
      <c r="A1378" t="str">
        <f>"04/02/2021"</f>
        <v>04/02/2021</v>
      </c>
      <c r="B1378">
        <v>3</v>
      </c>
      <c r="C1378">
        <v>178000</v>
      </c>
      <c r="D1378">
        <v>373130</v>
      </c>
      <c r="E1378">
        <v>178000</v>
      </c>
      <c r="F1378">
        <v>178000</v>
      </c>
      <c r="G1378" s="1">
        <v>1E-3</v>
      </c>
      <c r="H1378" s="1">
        <v>1E-3</v>
      </c>
      <c r="I1378" s="1">
        <v>1E-3</v>
      </c>
      <c r="J1378" s="1">
        <v>0.45040000000000002</v>
      </c>
    </row>
    <row r="1379" spans="1:10" x14ac:dyDescent="0.2">
      <c r="A1379" t="str">
        <f>"03/02/2021"</f>
        <v>03/02/2021</v>
      </c>
      <c r="B1379">
        <v>1</v>
      </c>
      <c r="C1379">
        <v>178000</v>
      </c>
      <c r="D1379">
        <v>371031</v>
      </c>
      <c r="E1379">
        <v>178000</v>
      </c>
      <c r="F1379">
        <v>178000</v>
      </c>
      <c r="G1379" s="1">
        <v>1E-3</v>
      </c>
      <c r="H1379" s="1">
        <v>1E-3</v>
      </c>
      <c r="I1379" s="1">
        <v>1E-3</v>
      </c>
      <c r="J1379" s="1">
        <v>0.45250000000000001</v>
      </c>
    </row>
    <row r="1380" spans="1:10" x14ac:dyDescent="0.2">
      <c r="A1380" t="str">
        <f>"02/02/2021"</f>
        <v>02/02/2021</v>
      </c>
      <c r="B1380">
        <v>1</v>
      </c>
      <c r="C1380">
        <v>181000</v>
      </c>
      <c r="D1380">
        <v>383254</v>
      </c>
      <c r="E1380">
        <v>181000</v>
      </c>
      <c r="F1380">
        <v>181000</v>
      </c>
      <c r="G1380" s="1">
        <v>1E-3</v>
      </c>
      <c r="H1380" s="1">
        <v>1E-3</v>
      </c>
      <c r="I1380" s="1">
        <v>1E-3</v>
      </c>
      <c r="J1380" s="1">
        <v>0.44469999999999998</v>
      </c>
    </row>
    <row r="1381" spans="1:10" x14ac:dyDescent="0.2">
      <c r="A1381" t="str">
        <f>"01/02/2021"</f>
        <v>01/02/2021</v>
      </c>
      <c r="B1381">
        <v>1</v>
      </c>
      <c r="C1381">
        <v>185000</v>
      </c>
      <c r="D1381">
        <v>384367</v>
      </c>
      <c r="E1381">
        <v>185000</v>
      </c>
      <c r="F1381">
        <v>185000</v>
      </c>
      <c r="G1381" s="1">
        <v>1E-3</v>
      </c>
      <c r="H1381" s="1">
        <v>1E-3</v>
      </c>
      <c r="I1381" s="1">
        <v>1E-3</v>
      </c>
      <c r="J1381" s="1">
        <v>0.45329999999999998</v>
      </c>
    </row>
    <row r="1382" spans="1:10" x14ac:dyDescent="0.2">
      <c r="A1382" t="str">
        <f>"31/01/2021"</f>
        <v>31/01/2021</v>
      </c>
      <c r="B1382">
        <v>1</v>
      </c>
      <c r="C1382">
        <v>182000</v>
      </c>
      <c r="D1382">
        <v>384533</v>
      </c>
      <c r="E1382">
        <v>182000</v>
      </c>
      <c r="F1382">
        <v>182000</v>
      </c>
      <c r="G1382" s="1">
        <v>1E-3</v>
      </c>
      <c r="H1382" s="1">
        <v>1E-3</v>
      </c>
      <c r="I1382" s="1">
        <v>1E-3</v>
      </c>
      <c r="J1382" s="1">
        <v>0.44719999999999999</v>
      </c>
    </row>
    <row r="1383" spans="1:10" x14ac:dyDescent="0.2">
      <c r="A1383" t="str">
        <f>"28/01/2021"</f>
        <v>28/01/2021</v>
      </c>
      <c r="B1383">
        <v>3</v>
      </c>
      <c r="C1383">
        <v>173000</v>
      </c>
      <c r="D1383">
        <v>370000</v>
      </c>
      <c r="E1383">
        <v>173000</v>
      </c>
      <c r="F1383">
        <v>173000</v>
      </c>
      <c r="G1383" s="1">
        <v>1E-3</v>
      </c>
      <c r="H1383" s="1">
        <v>1E-3</v>
      </c>
      <c r="I1383" s="1">
        <v>1E-3</v>
      </c>
      <c r="J1383" s="1">
        <v>0.44409999999999999</v>
      </c>
    </row>
    <row r="1384" spans="1:10" x14ac:dyDescent="0.2">
      <c r="A1384" t="str">
        <f>"27/01/2021"</f>
        <v>27/01/2021</v>
      </c>
      <c r="B1384">
        <v>1</v>
      </c>
      <c r="C1384">
        <v>175000</v>
      </c>
      <c r="D1384">
        <v>385205</v>
      </c>
      <c r="E1384">
        <v>175000</v>
      </c>
      <c r="F1384">
        <v>175000</v>
      </c>
      <c r="G1384" s="1">
        <v>1E-3</v>
      </c>
      <c r="H1384" s="1">
        <v>1E-3</v>
      </c>
      <c r="I1384" s="1">
        <v>1E-3</v>
      </c>
      <c r="J1384" s="1">
        <v>0.43080000000000002</v>
      </c>
    </row>
    <row r="1385" spans="1:10" x14ac:dyDescent="0.2">
      <c r="A1385" t="str">
        <f>"26/01/2021"</f>
        <v>26/01/2021</v>
      </c>
      <c r="B1385">
        <v>1</v>
      </c>
      <c r="C1385">
        <v>176000</v>
      </c>
      <c r="D1385">
        <v>390181</v>
      </c>
      <c r="E1385">
        <v>176000</v>
      </c>
      <c r="F1385">
        <v>176000</v>
      </c>
      <c r="G1385" s="1">
        <v>1E-3</v>
      </c>
      <c r="H1385" s="1">
        <v>1E-3</v>
      </c>
      <c r="I1385" s="1">
        <v>1E-3</v>
      </c>
      <c r="J1385" s="1">
        <v>0.42659999999999998</v>
      </c>
    </row>
    <row r="1386" spans="1:10" x14ac:dyDescent="0.2">
      <c r="A1386" t="str">
        <f>"25/01/2021"</f>
        <v>25/01/2021</v>
      </c>
      <c r="B1386">
        <v>1</v>
      </c>
      <c r="C1386">
        <v>181000</v>
      </c>
      <c r="D1386">
        <v>405420</v>
      </c>
      <c r="E1386">
        <v>181000</v>
      </c>
      <c r="F1386">
        <v>181000</v>
      </c>
      <c r="G1386" s="1">
        <v>1E-3</v>
      </c>
      <c r="H1386" s="1">
        <v>1E-3</v>
      </c>
      <c r="I1386" s="1">
        <v>1E-3</v>
      </c>
      <c r="J1386" s="1">
        <v>0.4219</v>
      </c>
    </row>
    <row r="1387" spans="1:10" x14ac:dyDescent="0.2">
      <c r="A1387" t="str">
        <f>"24/01/2021"</f>
        <v>24/01/2021</v>
      </c>
      <c r="B1387">
        <v>1</v>
      </c>
      <c r="C1387">
        <v>181000</v>
      </c>
      <c r="D1387">
        <v>416458</v>
      </c>
      <c r="E1387">
        <v>181000</v>
      </c>
      <c r="F1387">
        <v>181000</v>
      </c>
      <c r="G1387" s="1">
        <v>1E-3</v>
      </c>
      <c r="H1387" s="1">
        <v>1E-3</v>
      </c>
      <c r="I1387" s="1">
        <v>1E-3</v>
      </c>
      <c r="J1387" s="1">
        <v>0.41070000000000001</v>
      </c>
    </row>
    <row r="1388" spans="1:10" x14ac:dyDescent="0.2">
      <c r="A1388" t="str">
        <f>"21/01/2021"</f>
        <v>21/01/2021</v>
      </c>
      <c r="B1388">
        <v>3</v>
      </c>
      <c r="C1388">
        <v>181000</v>
      </c>
      <c r="D1388">
        <v>417240</v>
      </c>
      <c r="E1388">
        <v>181000</v>
      </c>
      <c r="F1388">
        <v>181000</v>
      </c>
      <c r="G1388" s="1">
        <v>1E-3</v>
      </c>
      <c r="H1388" s="1">
        <v>1E-3</v>
      </c>
      <c r="I1388" s="1">
        <v>1E-3</v>
      </c>
      <c r="J1388" s="1">
        <v>0.41120000000000001</v>
      </c>
    </row>
    <row r="1389" spans="1:10" x14ac:dyDescent="0.2">
      <c r="A1389" t="str">
        <f>"20/01/2021"</f>
        <v>20/01/2021</v>
      </c>
      <c r="B1389">
        <v>1</v>
      </c>
      <c r="C1389">
        <v>182000</v>
      </c>
      <c r="D1389">
        <v>427720</v>
      </c>
      <c r="E1389">
        <v>182000</v>
      </c>
      <c r="F1389">
        <v>182000</v>
      </c>
      <c r="G1389" s="1">
        <v>1E-3</v>
      </c>
      <c r="H1389" s="1">
        <v>1E-3</v>
      </c>
      <c r="I1389" s="1">
        <v>1E-3</v>
      </c>
      <c r="J1389" s="1">
        <v>0.40339999999999998</v>
      </c>
    </row>
    <row r="1390" spans="1:10" x14ac:dyDescent="0.2">
      <c r="A1390" t="str">
        <f>"19/01/2021"</f>
        <v>19/01/2021</v>
      </c>
      <c r="B1390">
        <v>1</v>
      </c>
      <c r="C1390">
        <v>183000</v>
      </c>
      <c r="D1390">
        <v>426850</v>
      </c>
      <c r="E1390">
        <v>183000</v>
      </c>
      <c r="F1390">
        <v>183000</v>
      </c>
      <c r="G1390" s="1">
        <v>1E-3</v>
      </c>
      <c r="H1390" s="1">
        <v>1E-3</v>
      </c>
      <c r="I1390" s="1">
        <v>1E-3</v>
      </c>
      <c r="J1390" s="1">
        <v>0.40450000000000003</v>
      </c>
    </row>
    <row r="1391" spans="1:10" x14ac:dyDescent="0.2">
      <c r="A1391" t="str">
        <f>"18/01/2021"</f>
        <v>18/01/2021</v>
      </c>
      <c r="B1391">
        <v>1</v>
      </c>
      <c r="C1391">
        <v>182000</v>
      </c>
      <c r="D1391">
        <v>435080</v>
      </c>
      <c r="E1391">
        <v>182000</v>
      </c>
      <c r="F1391">
        <v>182000</v>
      </c>
      <c r="G1391" s="1">
        <v>1E-3</v>
      </c>
      <c r="H1391" s="1">
        <v>1E-3</v>
      </c>
      <c r="I1391" s="1">
        <v>1E-3</v>
      </c>
      <c r="J1391" s="1">
        <v>0.39240000000000003</v>
      </c>
    </row>
    <row r="1392" spans="1:10" x14ac:dyDescent="0.2">
      <c r="A1392" t="str">
        <f>"17/01/2021"</f>
        <v>17/01/2021</v>
      </c>
      <c r="B1392">
        <v>1</v>
      </c>
      <c r="C1392">
        <v>184000</v>
      </c>
      <c r="D1392">
        <v>450088</v>
      </c>
      <c r="E1392">
        <v>184000</v>
      </c>
      <c r="F1392">
        <v>184000</v>
      </c>
      <c r="G1392" s="1">
        <v>1E-3</v>
      </c>
      <c r="H1392" s="1">
        <v>1E-3</v>
      </c>
      <c r="I1392" s="1">
        <v>1E-3</v>
      </c>
      <c r="J1392" s="1">
        <v>0.3851</v>
      </c>
    </row>
    <row r="1393" spans="1:10" x14ac:dyDescent="0.2">
      <c r="A1393" t="str">
        <f>"14/01/2021"</f>
        <v>14/01/2021</v>
      </c>
      <c r="B1393">
        <v>3</v>
      </c>
      <c r="C1393">
        <v>188000</v>
      </c>
      <c r="D1393">
        <v>468820</v>
      </c>
      <c r="E1393">
        <v>188000</v>
      </c>
      <c r="F1393">
        <v>188000</v>
      </c>
      <c r="G1393" s="1">
        <v>1E-3</v>
      </c>
      <c r="H1393" s="1">
        <v>1E-3</v>
      </c>
      <c r="I1393" s="1">
        <v>1E-3</v>
      </c>
      <c r="J1393" s="1">
        <v>0.37840000000000001</v>
      </c>
    </row>
    <row r="1394" spans="1:10" x14ac:dyDescent="0.2">
      <c r="A1394" t="str">
        <f>"13/01/2021"</f>
        <v>13/01/2021</v>
      </c>
      <c r="B1394">
        <v>1</v>
      </c>
      <c r="C1394">
        <v>198000</v>
      </c>
      <c r="D1394">
        <v>501246</v>
      </c>
      <c r="E1394">
        <v>198000</v>
      </c>
      <c r="F1394">
        <v>198000</v>
      </c>
      <c r="G1394" s="1">
        <v>1E-3</v>
      </c>
      <c r="H1394" s="1">
        <v>1E-3</v>
      </c>
      <c r="I1394" s="1">
        <v>1E-3</v>
      </c>
      <c r="J1394" s="1">
        <v>0.3715</v>
      </c>
    </row>
    <row r="1395" spans="1:10" x14ac:dyDescent="0.2">
      <c r="A1395" t="str">
        <f>"12/01/2021"</f>
        <v>12/01/2021</v>
      </c>
      <c r="B1395">
        <v>1</v>
      </c>
      <c r="C1395">
        <v>198000</v>
      </c>
      <c r="D1395">
        <v>503130</v>
      </c>
      <c r="E1395">
        <v>198000</v>
      </c>
      <c r="F1395">
        <v>198000</v>
      </c>
      <c r="G1395" s="1">
        <v>1E-3</v>
      </c>
      <c r="H1395" s="1">
        <v>1E-3</v>
      </c>
      <c r="I1395" s="1">
        <v>1E-3</v>
      </c>
      <c r="J1395" s="1">
        <v>0.371</v>
      </c>
    </row>
    <row r="1396" spans="1:10" x14ac:dyDescent="0.2">
      <c r="A1396" t="str">
        <f>"11/01/2021"</f>
        <v>11/01/2021</v>
      </c>
      <c r="B1396">
        <v>1</v>
      </c>
      <c r="C1396">
        <v>198000</v>
      </c>
      <c r="D1396">
        <v>502815</v>
      </c>
      <c r="E1396">
        <v>198000</v>
      </c>
      <c r="F1396">
        <v>198000</v>
      </c>
      <c r="G1396" s="1">
        <v>1E-3</v>
      </c>
      <c r="H1396" s="1">
        <v>1E-3</v>
      </c>
      <c r="I1396" s="1">
        <v>1E-3</v>
      </c>
      <c r="J1396" s="1">
        <v>0.36919999999999997</v>
      </c>
    </row>
    <row r="1397" spans="1:10" x14ac:dyDescent="0.2">
      <c r="A1397" t="str">
        <f>"10/01/2021"</f>
        <v>10/01/2021</v>
      </c>
      <c r="B1397">
        <v>1</v>
      </c>
      <c r="C1397">
        <v>194000</v>
      </c>
      <c r="D1397">
        <v>477080</v>
      </c>
      <c r="E1397">
        <v>194000</v>
      </c>
      <c r="F1397">
        <v>194000</v>
      </c>
      <c r="G1397" s="1">
        <v>1E-3</v>
      </c>
      <c r="H1397" s="1">
        <v>1E-3</v>
      </c>
      <c r="I1397" s="1">
        <v>1E-3</v>
      </c>
      <c r="J1397" s="1">
        <v>0.38140000000000002</v>
      </c>
    </row>
    <row r="1398" spans="1:10" x14ac:dyDescent="0.2">
      <c r="A1398" t="str">
        <f>"07/01/2021"</f>
        <v>07/01/2021</v>
      </c>
      <c r="B1398">
        <v>3</v>
      </c>
      <c r="C1398">
        <v>192000</v>
      </c>
      <c r="D1398">
        <v>367460</v>
      </c>
      <c r="E1398">
        <v>192000</v>
      </c>
      <c r="F1398">
        <v>192000</v>
      </c>
      <c r="G1398" s="1">
        <v>1E-3</v>
      </c>
      <c r="H1398" s="1">
        <v>1E-3</v>
      </c>
      <c r="I1398" s="1">
        <v>1E-3</v>
      </c>
      <c r="J1398" s="1">
        <v>0.50019999999999998</v>
      </c>
    </row>
    <row r="1399" spans="1:10" x14ac:dyDescent="0.2">
      <c r="A1399" t="str">
        <f>"06/01/2021"</f>
        <v>06/01/2021</v>
      </c>
      <c r="B1399">
        <v>1</v>
      </c>
      <c r="C1399">
        <v>172000</v>
      </c>
      <c r="D1399">
        <v>168594</v>
      </c>
      <c r="E1399">
        <v>168594</v>
      </c>
      <c r="F1399">
        <v>168594</v>
      </c>
      <c r="G1399" s="1">
        <v>1E-3</v>
      </c>
      <c r="H1399" s="1">
        <v>1E-3</v>
      </c>
      <c r="I1399" s="1">
        <v>1E-3</v>
      </c>
      <c r="J1399" s="1">
        <v>1</v>
      </c>
    </row>
    <row r="1400" spans="1:10" x14ac:dyDescent="0.2">
      <c r="A1400" t="str">
        <f>"05/01/2021"</f>
        <v>05/01/2021</v>
      </c>
      <c r="B1400">
        <v>1</v>
      </c>
      <c r="C1400">
        <v>191000</v>
      </c>
      <c r="D1400">
        <v>454578</v>
      </c>
      <c r="E1400">
        <v>191000</v>
      </c>
      <c r="F1400">
        <v>191000</v>
      </c>
      <c r="G1400" s="1">
        <v>1E-3</v>
      </c>
      <c r="H1400" s="1">
        <v>1E-3</v>
      </c>
      <c r="I1400" s="1">
        <v>1E-3</v>
      </c>
      <c r="J1400" s="1">
        <v>0.38869999999999999</v>
      </c>
    </row>
    <row r="1401" spans="1:10" x14ac:dyDescent="0.2">
      <c r="A1401" t="str">
        <f>"04/01/2021"</f>
        <v>04/01/2021</v>
      </c>
      <c r="B1401">
        <v>1</v>
      </c>
      <c r="C1401">
        <v>190000</v>
      </c>
      <c r="D1401">
        <v>470467</v>
      </c>
      <c r="E1401">
        <v>190000</v>
      </c>
      <c r="F1401">
        <v>190000</v>
      </c>
      <c r="G1401" s="1">
        <v>1E-3</v>
      </c>
      <c r="H1401" s="1">
        <v>1E-3</v>
      </c>
      <c r="I1401" s="1">
        <v>1E-3</v>
      </c>
      <c r="J1401" s="1">
        <v>0.38150000000000001</v>
      </c>
    </row>
    <row r="1402" spans="1:10" x14ac:dyDescent="0.2">
      <c r="A1402" t="str">
        <f>"03/01/2021"</f>
        <v>03/01/2021</v>
      </c>
      <c r="B1402">
        <v>1</v>
      </c>
      <c r="C1402">
        <v>186000</v>
      </c>
      <c r="D1402">
        <v>466120</v>
      </c>
      <c r="E1402">
        <v>186000</v>
      </c>
      <c r="F1402">
        <v>186000</v>
      </c>
      <c r="G1402" s="1">
        <v>1E-3</v>
      </c>
      <c r="H1402" s="1">
        <v>1E-3</v>
      </c>
      <c r="I1402" s="1">
        <v>1E-3</v>
      </c>
      <c r="J1402" s="1">
        <v>0.37919999999999998</v>
      </c>
    </row>
    <row r="1403" spans="1:10" x14ac:dyDescent="0.2">
      <c r="A1403" t="str">
        <f>"31/12/2020"</f>
        <v>31/12/2020</v>
      </c>
      <c r="B1403">
        <v>3</v>
      </c>
      <c r="C1403">
        <v>190000</v>
      </c>
      <c r="D1403">
        <v>474320</v>
      </c>
      <c r="E1403">
        <v>190000</v>
      </c>
      <c r="F1403">
        <v>190000</v>
      </c>
      <c r="G1403" s="1">
        <v>1E-3</v>
      </c>
      <c r="H1403" s="1">
        <v>1E-3</v>
      </c>
      <c r="I1403" s="1">
        <v>1E-3</v>
      </c>
      <c r="J1403" s="1">
        <v>0.37940000000000002</v>
      </c>
    </row>
    <row r="1404" spans="1:10" x14ac:dyDescent="0.2">
      <c r="A1404" t="str">
        <f>"30/12/2020"</f>
        <v>30/12/2020</v>
      </c>
      <c r="B1404">
        <v>1</v>
      </c>
      <c r="C1404">
        <v>192000</v>
      </c>
      <c r="D1404">
        <v>492670</v>
      </c>
      <c r="E1404">
        <v>192000</v>
      </c>
      <c r="F1404">
        <v>192000</v>
      </c>
      <c r="G1404" s="1">
        <v>1E-3</v>
      </c>
      <c r="H1404" s="1">
        <v>1E-3</v>
      </c>
      <c r="I1404" s="1">
        <v>1E-3</v>
      </c>
      <c r="J1404" s="1">
        <v>0.36670000000000003</v>
      </c>
    </row>
    <row r="1405" spans="1:10" x14ac:dyDescent="0.2">
      <c r="A1405" t="str">
        <f>"29/12/2020"</f>
        <v>29/12/2020</v>
      </c>
      <c r="B1405">
        <v>1</v>
      </c>
      <c r="C1405">
        <v>188000</v>
      </c>
      <c r="D1405">
        <v>471490</v>
      </c>
      <c r="E1405">
        <v>188000</v>
      </c>
      <c r="F1405">
        <v>188000</v>
      </c>
      <c r="G1405" s="1">
        <v>1E-3</v>
      </c>
      <c r="H1405" s="1">
        <v>1E-3</v>
      </c>
      <c r="I1405" s="1">
        <v>1E-3</v>
      </c>
      <c r="J1405" s="1">
        <v>0.37690000000000001</v>
      </c>
    </row>
    <row r="1406" spans="1:10" x14ac:dyDescent="0.2">
      <c r="A1406" t="str">
        <f>"28/12/2020"</f>
        <v>28/12/2020</v>
      </c>
      <c r="B1406">
        <v>1</v>
      </c>
      <c r="C1406">
        <v>185000</v>
      </c>
      <c r="D1406">
        <v>460615</v>
      </c>
      <c r="E1406">
        <v>185000</v>
      </c>
      <c r="F1406">
        <v>185000</v>
      </c>
      <c r="G1406" s="1">
        <v>1E-3</v>
      </c>
      <c r="H1406" s="1">
        <v>1E-3</v>
      </c>
      <c r="I1406" s="1">
        <v>1E-3</v>
      </c>
      <c r="J1406" s="1">
        <v>0.3805</v>
      </c>
    </row>
    <row r="1407" spans="1:10" x14ac:dyDescent="0.2">
      <c r="A1407" t="str">
        <f>"27/12/2020"</f>
        <v>27/12/2020</v>
      </c>
      <c r="B1407">
        <v>1</v>
      </c>
      <c r="C1407">
        <v>177000</v>
      </c>
      <c r="D1407">
        <v>437874</v>
      </c>
      <c r="E1407">
        <v>177000</v>
      </c>
      <c r="F1407">
        <v>177000</v>
      </c>
      <c r="G1407" s="1">
        <v>1E-3</v>
      </c>
      <c r="H1407" s="1">
        <v>1E-3</v>
      </c>
      <c r="I1407" s="1">
        <v>1E-3</v>
      </c>
      <c r="J1407" s="1">
        <v>0.38579999999999998</v>
      </c>
    </row>
    <row r="1408" spans="1:10" x14ac:dyDescent="0.2">
      <c r="A1408" t="str">
        <f>"24/12/2020"</f>
        <v>24/12/2020</v>
      </c>
      <c r="B1408">
        <v>3</v>
      </c>
      <c r="C1408">
        <v>177000</v>
      </c>
      <c r="D1408">
        <v>450670</v>
      </c>
      <c r="E1408">
        <v>177000</v>
      </c>
      <c r="F1408">
        <v>177000</v>
      </c>
      <c r="G1408" s="1">
        <v>1E-3</v>
      </c>
      <c r="H1408" s="1">
        <v>1E-3</v>
      </c>
      <c r="I1408" s="1">
        <v>1E-3</v>
      </c>
      <c r="J1408" s="1">
        <v>0.37269999999999998</v>
      </c>
    </row>
    <row r="1409" spans="1:10" x14ac:dyDescent="0.2">
      <c r="A1409" t="str">
        <f>"23/12/2020"</f>
        <v>23/12/2020</v>
      </c>
      <c r="B1409">
        <v>1</v>
      </c>
      <c r="C1409">
        <v>178000</v>
      </c>
      <c r="D1409">
        <v>455776</v>
      </c>
      <c r="E1409">
        <v>178000</v>
      </c>
      <c r="F1409">
        <v>178000</v>
      </c>
      <c r="G1409" s="1">
        <v>1E-3</v>
      </c>
      <c r="H1409" s="1">
        <v>1E-3</v>
      </c>
      <c r="I1409" s="1">
        <v>1E-3</v>
      </c>
      <c r="J1409" s="1">
        <v>0.36980000000000002</v>
      </c>
    </row>
    <row r="1410" spans="1:10" x14ac:dyDescent="0.2">
      <c r="A1410" t="str">
        <f>"22/12/2020"</f>
        <v>22/12/2020</v>
      </c>
      <c r="B1410">
        <v>1</v>
      </c>
      <c r="C1410">
        <v>178000</v>
      </c>
      <c r="D1410">
        <v>447513</v>
      </c>
      <c r="E1410">
        <v>178000</v>
      </c>
      <c r="F1410">
        <v>178000</v>
      </c>
      <c r="G1410" s="1">
        <v>1E-3</v>
      </c>
      <c r="H1410" s="1">
        <v>1E-3</v>
      </c>
      <c r="I1410" s="1">
        <v>1E-3</v>
      </c>
      <c r="J1410" s="1">
        <v>0.3785</v>
      </c>
    </row>
    <row r="1411" spans="1:10" x14ac:dyDescent="0.2">
      <c r="A1411" t="str">
        <f>"21/12/2020"</f>
        <v>21/12/2020</v>
      </c>
      <c r="B1411">
        <v>1</v>
      </c>
      <c r="C1411">
        <v>174000</v>
      </c>
      <c r="D1411">
        <v>434272</v>
      </c>
      <c r="E1411">
        <v>174000</v>
      </c>
      <c r="F1411">
        <v>174000</v>
      </c>
      <c r="G1411" s="1">
        <v>1E-3</v>
      </c>
      <c r="H1411" s="1">
        <v>1E-3</v>
      </c>
      <c r="I1411" s="1">
        <v>1E-3</v>
      </c>
      <c r="J1411" s="1">
        <v>0.3795</v>
      </c>
    </row>
    <row r="1412" spans="1:10" x14ac:dyDescent="0.2">
      <c r="A1412" t="str">
        <f>"20/12/2020"</f>
        <v>20/12/2020</v>
      </c>
      <c r="B1412">
        <v>1</v>
      </c>
      <c r="C1412">
        <v>172000</v>
      </c>
      <c r="D1412">
        <v>419580</v>
      </c>
      <c r="E1412">
        <v>172000</v>
      </c>
      <c r="F1412">
        <v>172000</v>
      </c>
      <c r="G1412" s="1">
        <v>1E-3</v>
      </c>
      <c r="H1412" s="1">
        <v>1E-3</v>
      </c>
      <c r="I1412" s="1">
        <v>1E-3</v>
      </c>
      <c r="J1412" s="1">
        <v>0.3871</v>
      </c>
    </row>
    <row r="1413" spans="1:10" x14ac:dyDescent="0.2">
      <c r="A1413" t="str">
        <f>"17/12/2020"</f>
        <v>17/12/2020</v>
      </c>
      <c r="B1413">
        <v>3</v>
      </c>
      <c r="C1413">
        <v>172000</v>
      </c>
      <c r="D1413">
        <v>416875</v>
      </c>
      <c r="E1413">
        <v>172000</v>
      </c>
      <c r="F1413">
        <v>172000</v>
      </c>
      <c r="G1413" s="1">
        <v>1E-3</v>
      </c>
      <c r="H1413" s="1">
        <v>1E-3</v>
      </c>
      <c r="I1413" s="1">
        <v>1E-3</v>
      </c>
      <c r="J1413" s="1">
        <v>0.3911</v>
      </c>
    </row>
    <row r="1414" spans="1:10" x14ac:dyDescent="0.2">
      <c r="A1414" t="str">
        <f>"16/12/2020"</f>
        <v>16/12/2020</v>
      </c>
      <c r="B1414">
        <v>1</v>
      </c>
      <c r="C1414">
        <v>175000</v>
      </c>
      <c r="D1414">
        <v>419190</v>
      </c>
      <c r="E1414">
        <v>175000</v>
      </c>
      <c r="F1414">
        <v>175000</v>
      </c>
      <c r="G1414" s="1">
        <v>1E-3</v>
      </c>
      <c r="H1414" s="1">
        <v>1E-3</v>
      </c>
      <c r="I1414" s="1">
        <v>1E-3</v>
      </c>
      <c r="J1414" s="1">
        <v>0.3972</v>
      </c>
    </row>
    <row r="1415" spans="1:10" x14ac:dyDescent="0.2">
      <c r="A1415" t="str">
        <f>"15/12/2020"</f>
        <v>15/12/2020</v>
      </c>
      <c r="B1415">
        <v>1</v>
      </c>
      <c r="C1415">
        <v>182000</v>
      </c>
      <c r="D1415">
        <v>446446</v>
      </c>
      <c r="E1415">
        <v>182000</v>
      </c>
      <c r="F1415">
        <v>182000</v>
      </c>
      <c r="G1415" s="1">
        <v>1E-3</v>
      </c>
      <c r="H1415" s="1">
        <v>1E-3</v>
      </c>
      <c r="I1415" s="1">
        <v>1E-3</v>
      </c>
      <c r="J1415" s="1">
        <v>0.38619999999999999</v>
      </c>
    </row>
    <row r="1416" spans="1:10" x14ac:dyDescent="0.2">
      <c r="A1416" t="str">
        <f>"14/12/2020"</f>
        <v>14/12/2020</v>
      </c>
      <c r="B1416">
        <v>1</v>
      </c>
      <c r="C1416">
        <v>184000</v>
      </c>
      <c r="D1416">
        <v>455696</v>
      </c>
      <c r="E1416">
        <v>184000</v>
      </c>
      <c r="F1416">
        <v>184000</v>
      </c>
      <c r="G1416" s="1">
        <v>1E-3</v>
      </c>
      <c r="H1416" s="1">
        <v>1E-3</v>
      </c>
      <c r="I1416" s="1">
        <v>1E-3</v>
      </c>
      <c r="J1416" s="1">
        <v>0.38350000000000001</v>
      </c>
    </row>
    <row r="1417" spans="1:10" x14ac:dyDescent="0.2">
      <c r="A1417" t="str">
        <f>"13/12/2020"</f>
        <v>13/12/2020</v>
      </c>
      <c r="B1417">
        <v>1</v>
      </c>
      <c r="C1417">
        <v>184000</v>
      </c>
      <c r="D1417">
        <v>466715</v>
      </c>
      <c r="E1417">
        <v>184000</v>
      </c>
      <c r="F1417">
        <v>184000</v>
      </c>
      <c r="G1417" s="1">
        <v>1E-3</v>
      </c>
      <c r="H1417" s="1">
        <v>1E-3</v>
      </c>
      <c r="I1417" s="1">
        <v>1E-3</v>
      </c>
      <c r="J1417" s="1">
        <v>0.37240000000000001</v>
      </c>
    </row>
    <row r="1418" spans="1:10" x14ac:dyDescent="0.2">
      <c r="A1418" t="str">
        <f>"10/12/2020"</f>
        <v>10/12/2020</v>
      </c>
      <c r="B1418">
        <v>3</v>
      </c>
      <c r="C1418">
        <v>183000</v>
      </c>
      <c r="D1418">
        <v>478930</v>
      </c>
      <c r="E1418">
        <v>183000</v>
      </c>
      <c r="F1418">
        <v>183000</v>
      </c>
      <c r="G1418" s="1">
        <v>1E-3</v>
      </c>
      <c r="H1418" s="1">
        <v>1E-3</v>
      </c>
      <c r="I1418" s="1">
        <v>1E-3</v>
      </c>
      <c r="J1418" s="1">
        <v>0.36270000000000002</v>
      </c>
    </row>
    <row r="1419" spans="1:10" x14ac:dyDescent="0.2">
      <c r="A1419" t="str">
        <f>"09/12/2020"</f>
        <v>09/12/2020</v>
      </c>
      <c r="B1419">
        <v>1</v>
      </c>
      <c r="C1419">
        <v>179000</v>
      </c>
      <c r="D1419">
        <v>483973</v>
      </c>
      <c r="E1419">
        <v>179000</v>
      </c>
      <c r="F1419">
        <v>179000</v>
      </c>
      <c r="G1419" s="1">
        <v>1E-3</v>
      </c>
      <c r="H1419" s="1">
        <v>1E-3</v>
      </c>
      <c r="I1419" s="1">
        <v>1E-3</v>
      </c>
      <c r="J1419" s="1">
        <v>0.3453</v>
      </c>
    </row>
    <row r="1420" spans="1:10" x14ac:dyDescent="0.2">
      <c r="A1420" t="str">
        <f>"08/12/2020"</f>
        <v>08/12/2020</v>
      </c>
      <c r="B1420">
        <v>1</v>
      </c>
      <c r="C1420">
        <v>178000</v>
      </c>
      <c r="D1420">
        <v>480154</v>
      </c>
      <c r="E1420">
        <v>178000</v>
      </c>
      <c r="F1420">
        <v>178000</v>
      </c>
      <c r="G1420" s="1">
        <v>1E-3</v>
      </c>
      <c r="H1420" s="1">
        <v>1E-3</v>
      </c>
      <c r="I1420" s="1">
        <v>1E-3</v>
      </c>
      <c r="J1420" s="1">
        <v>0.35039999999999999</v>
      </c>
    </row>
    <row r="1421" spans="1:10" x14ac:dyDescent="0.2">
      <c r="A1421" t="str">
        <f>"07/12/2020"</f>
        <v>07/12/2020</v>
      </c>
      <c r="B1421">
        <v>1</v>
      </c>
      <c r="C1421">
        <v>180000</v>
      </c>
      <c r="D1421">
        <v>471601</v>
      </c>
      <c r="E1421">
        <v>180000</v>
      </c>
      <c r="F1421">
        <v>180000</v>
      </c>
      <c r="G1421" s="1">
        <v>1E-3</v>
      </c>
      <c r="H1421" s="1">
        <v>1E-3</v>
      </c>
      <c r="I1421" s="1">
        <v>1E-3</v>
      </c>
      <c r="J1421" s="1">
        <v>0.36109999999999998</v>
      </c>
    </row>
    <row r="1422" spans="1:10" x14ac:dyDescent="0.2">
      <c r="A1422" t="str">
        <f>"06/12/2020"</f>
        <v>06/12/2020</v>
      </c>
      <c r="B1422">
        <v>1</v>
      </c>
      <c r="C1422">
        <v>179000</v>
      </c>
      <c r="D1422">
        <v>430790</v>
      </c>
      <c r="E1422">
        <v>179000</v>
      </c>
      <c r="F1422">
        <v>179000</v>
      </c>
      <c r="G1422" s="1">
        <v>1E-3</v>
      </c>
      <c r="H1422" s="1">
        <v>1E-3</v>
      </c>
      <c r="I1422" s="1">
        <v>1E-3</v>
      </c>
      <c r="J1422" s="1">
        <v>0.39029999999999998</v>
      </c>
    </row>
    <row r="1423" spans="1:10" x14ac:dyDescent="0.2">
      <c r="A1423" t="str">
        <f>"03/12/2020"</f>
        <v>03/12/2020</v>
      </c>
      <c r="B1423">
        <v>3</v>
      </c>
      <c r="C1423">
        <v>177000</v>
      </c>
      <c r="D1423">
        <v>327665</v>
      </c>
      <c r="E1423">
        <v>177000</v>
      </c>
      <c r="F1423">
        <v>177000</v>
      </c>
      <c r="G1423" s="1">
        <v>1E-3</v>
      </c>
      <c r="H1423" s="1">
        <v>1E-3</v>
      </c>
      <c r="I1423" s="1">
        <v>1E-3</v>
      </c>
      <c r="J1423" s="1">
        <v>0.51919999999999999</v>
      </c>
    </row>
    <row r="1424" spans="1:10" x14ac:dyDescent="0.2">
      <c r="A1424" t="str">
        <f>"02/12/2020"</f>
        <v>02/12/2020</v>
      </c>
      <c r="B1424">
        <v>1</v>
      </c>
      <c r="C1424">
        <v>166000</v>
      </c>
      <c r="D1424">
        <v>158202</v>
      </c>
      <c r="E1424">
        <v>158202</v>
      </c>
      <c r="F1424">
        <v>158202</v>
      </c>
      <c r="G1424" s="1">
        <v>1E-3</v>
      </c>
      <c r="H1424" s="1">
        <v>1E-3</v>
      </c>
      <c r="I1424" s="1">
        <v>1E-3</v>
      </c>
      <c r="J1424" s="1">
        <v>1</v>
      </c>
    </row>
    <row r="1425" spans="1:10" x14ac:dyDescent="0.2">
      <c r="A1425" t="str">
        <f>"01/12/2020"</f>
        <v>01/12/2020</v>
      </c>
      <c r="B1425">
        <v>1</v>
      </c>
      <c r="C1425">
        <v>177000</v>
      </c>
      <c r="D1425">
        <v>438255</v>
      </c>
      <c r="E1425">
        <v>177000</v>
      </c>
      <c r="F1425">
        <v>177000</v>
      </c>
      <c r="G1425" s="1">
        <v>1E-3</v>
      </c>
      <c r="H1425" s="1">
        <v>1E-3</v>
      </c>
      <c r="I1425" s="1">
        <v>1E-3</v>
      </c>
      <c r="J1425" s="1">
        <v>0.37619999999999998</v>
      </c>
    </row>
    <row r="1426" spans="1:10" x14ac:dyDescent="0.2">
      <c r="A1426" t="str">
        <f>"30/11/2020"</f>
        <v>30/11/2020</v>
      </c>
      <c r="B1426">
        <v>1</v>
      </c>
      <c r="C1426">
        <v>168000</v>
      </c>
      <c r="D1426">
        <v>419307</v>
      </c>
      <c r="E1426">
        <v>168000</v>
      </c>
      <c r="F1426">
        <v>168000</v>
      </c>
      <c r="G1426" s="1">
        <v>1E-3</v>
      </c>
      <c r="H1426" s="1">
        <v>1E-3</v>
      </c>
      <c r="I1426" s="1">
        <v>1E-3</v>
      </c>
      <c r="J1426" s="1">
        <v>0.36220000000000002</v>
      </c>
    </row>
    <row r="1427" spans="1:10" x14ac:dyDescent="0.2">
      <c r="A1427" t="str">
        <f>"29/11/2020"</f>
        <v>29/11/2020</v>
      </c>
      <c r="B1427">
        <v>1</v>
      </c>
      <c r="C1427">
        <v>161000</v>
      </c>
      <c r="D1427">
        <v>379695</v>
      </c>
      <c r="E1427">
        <v>161000</v>
      </c>
      <c r="F1427">
        <v>161000</v>
      </c>
      <c r="G1427" s="1">
        <v>1E-3</v>
      </c>
      <c r="H1427" s="1">
        <v>1E-3</v>
      </c>
      <c r="I1427" s="1">
        <v>1E-3</v>
      </c>
      <c r="J1427" s="1">
        <v>0.39960000000000001</v>
      </c>
    </row>
    <row r="1428" spans="1:10" x14ac:dyDescent="0.2">
      <c r="A1428" t="str">
        <f>"26/11/2020"</f>
        <v>26/11/2020</v>
      </c>
      <c r="B1428">
        <v>3</v>
      </c>
      <c r="C1428">
        <v>156000</v>
      </c>
      <c r="D1428">
        <v>352540</v>
      </c>
      <c r="E1428">
        <v>156000</v>
      </c>
      <c r="F1428">
        <v>156000</v>
      </c>
      <c r="G1428" s="1">
        <v>1E-3</v>
      </c>
      <c r="H1428" s="1">
        <v>1E-3</v>
      </c>
      <c r="I1428" s="1">
        <v>1E-3</v>
      </c>
      <c r="J1428" s="1">
        <v>0.41899999999999998</v>
      </c>
    </row>
    <row r="1429" spans="1:10" x14ac:dyDescent="0.2">
      <c r="A1429" t="str">
        <f>"25/11/2020"</f>
        <v>25/11/2020</v>
      </c>
      <c r="B1429">
        <v>1</v>
      </c>
      <c r="C1429">
        <v>152000</v>
      </c>
      <c r="D1429">
        <v>356583</v>
      </c>
      <c r="E1429">
        <v>152000</v>
      </c>
      <c r="F1429">
        <v>152000</v>
      </c>
      <c r="G1429" s="1">
        <v>1E-3</v>
      </c>
      <c r="H1429" s="1">
        <v>1E-3</v>
      </c>
      <c r="I1429" s="1">
        <v>1E-3</v>
      </c>
      <c r="J1429" s="1">
        <v>0.4027</v>
      </c>
    </row>
    <row r="1430" spans="1:10" x14ac:dyDescent="0.2">
      <c r="A1430" t="str">
        <f>"24/11/2020"</f>
        <v>24/11/2020</v>
      </c>
      <c r="B1430">
        <v>1</v>
      </c>
      <c r="C1430">
        <v>152000</v>
      </c>
      <c r="D1430">
        <v>361113</v>
      </c>
      <c r="E1430">
        <v>152000</v>
      </c>
      <c r="F1430">
        <v>152000</v>
      </c>
      <c r="G1430" s="1">
        <v>1E-3</v>
      </c>
      <c r="H1430" s="1">
        <v>1E-3</v>
      </c>
      <c r="I1430" s="1">
        <v>1E-3</v>
      </c>
      <c r="J1430" s="1">
        <v>0.39779999999999999</v>
      </c>
    </row>
    <row r="1431" spans="1:10" x14ac:dyDescent="0.2">
      <c r="A1431" t="str">
        <f>"23/11/2020"</f>
        <v>23/11/2020</v>
      </c>
      <c r="B1431">
        <v>1</v>
      </c>
      <c r="C1431">
        <v>155000</v>
      </c>
      <c r="D1431">
        <v>365026</v>
      </c>
      <c r="E1431">
        <v>155000</v>
      </c>
      <c r="F1431">
        <v>155000</v>
      </c>
      <c r="G1431" s="1">
        <v>1E-3</v>
      </c>
      <c r="H1431" s="1">
        <v>1E-3</v>
      </c>
      <c r="I1431" s="1">
        <v>1E-3</v>
      </c>
      <c r="J1431" s="1">
        <v>0.40089999999999998</v>
      </c>
    </row>
    <row r="1432" spans="1:10" x14ac:dyDescent="0.2">
      <c r="A1432" t="str">
        <f>"22/11/2020"</f>
        <v>22/11/2020</v>
      </c>
      <c r="B1432">
        <v>1</v>
      </c>
      <c r="C1432">
        <v>157000</v>
      </c>
      <c r="D1432">
        <v>365850</v>
      </c>
      <c r="E1432">
        <v>157000</v>
      </c>
      <c r="F1432">
        <v>157000</v>
      </c>
      <c r="G1432" s="1">
        <v>1E-3</v>
      </c>
      <c r="H1432" s="1">
        <v>1E-3</v>
      </c>
      <c r="I1432" s="1">
        <v>1E-3</v>
      </c>
      <c r="J1432" s="1">
        <v>0.40510000000000002</v>
      </c>
    </row>
    <row r="1433" spans="1:10" x14ac:dyDescent="0.2">
      <c r="A1433" t="str">
        <f>"19/11/2020"</f>
        <v>19/11/2020</v>
      </c>
      <c r="B1433">
        <v>3</v>
      </c>
      <c r="C1433">
        <v>157000</v>
      </c>
      <c r="D1433">
        <v>360050</v>
      </c>
      <c r="E1433">
        <v>157000</v>
      </c>
      <c r="F1433">
        <v>157000</v>
      </c>
      <c r="G1433" s="1">
        <v>1E-3</v>
      </c>
      <c r="H1433" s="1">
        <v>1E-3</v>
      </c>
      <c r="I1433" s="1">
        <v>1E-3</v>
      </c>
      <c r="J1433" s="1">
        <v>0.41249999999999998</v>
      </c>
    </row>
    <row r="1434" spans="1:10" x14ac:dyDescent="0.2">
      <c r="A1434" t="str">
        <f>"18/11/2020"</f>
        <v>18/11/2020</v>
      </c>
      <c r="B1434">
        <v>1</v>
      </c>
      <c r="C1434">
        <v>157000</v>
      </c>
      <c r="D1434">
        <v>366360</v>
      </c>
      <c r="E1434">
        <v>157000</v>
      </c>
      <c r="F1434">
        <v>157000</v>
      </c>
      <c r="G1434" s="1">
        <v>1E-3</v>
      </c>
      <c r="H1434" s="1">
        <v>1E-3</v>
      </c>
      <c r="I1434" s="1">
        <v>1E-3</v>
      </c>
      <c r="J1434" s="1">
        <v>0.40529999999999999</v>
      </c>
    </row>
    <row r="1435" spans="1:10" x14ac:dyDescent="0.2">
      <c r="A1435" t="str">
        <f>"17/11/2020"</f>
        <v>17/11/2020</v>
      </c>
      <c r="B1435">
        <v>1</v>
      </c>
      <c r="C1435">
        <v>158000</v>
      </c>
      <c r="D1435">
        <v>372458</v>
      </c>
      <c r="E1435">
        <v>158000</v>
      </c>
      <c r="F1435">
        <v>158000</v>
      </c>
      <c r="G1435" s="1">
        <v>1E-3</v>
      </c>
      <c r="H1435" s="1">
        <v>1E-3</v>
      </c>
      <c r="I1435" s="1">
        <v>1E-3</v>
      </c>
      <c r="J1435" s="1">
        <v>0.40160000000000001</v>
      </c>
    </row>
    <row r="1436" spans="1:10" x14ac:dyDescent="0.2">
      <c r="A1436" t="str">
        <f>"16/11/2020"</f>
        <v>16/11/2020</v>
      </c>
      <c r="B1436">
        <v>1</v>
      </c>
      <c r="C1436">
        <v>160000</v>
      </c>
      <c r="D1436">
        <v>384685</v>
      </c>
      <c r="E1436">
        <v>160000</v>
      </c>
      <c r="F1436">
        <v>160000</v>
      </c>
      <c r="G1436" s="1">
        <v>1E-3</v>
      </c>
      <c r="H1436" s="1">
        <v>1E-3</v>
      </c>
      <c r="I1436" s="1">
        <v>1E-3</v>
      </c>
      <c r="J1436" s="1">
        <v>0.39379999999999998</v>
      </c>
    </row>
    <row r="1437" spans="1:10" x14ac:dyDescent="0.2">
      <c r="A1437" t="str">
        <f>"15/11/2020"</f>
        <v>15/11/2020</v>
      </c>
      <c r="B1437">
        <v>1</v>
      </c>
      <c r="C1437">
        <v>166000</v>
      </c>
      <c r="D1437">
        <v>394036</v>
      </c>
      <c r="E1437">
        <v>166000</v>
      </c>
      <c r="F1437">
        <v>166000</v>
      </c>
      <c r="G1437" s="1">
        <v>1E-3</v>
      </c>
      <c r="H1437" s="1">
        <v>1E-3</v>
      </c>
      <c r="I1437" s="1">
        <v>1E-3</v>
      </c>
      <c r="J1437" s="1">
        <v>0.39879999999999999</v>
      </c>
    </row>
    <row r="1438" spans="1:10" x14ac:dyDescent="0.2">
      <c r="A1438" t="str">
        <f>"12/11/2020"</f>
        <v>12/11/2020</v>
      </c>
      <c r="B1438">
        <v>3</v>
      </c>
      <c r="C1438">
        <v>167000</v>
      </c>
      <c r="D1438">
        <v>380080</v>
      </c>
      <c r="E1438">
        <v>167000</v>
      </c>
      <c r="F1438">
        <v>167000</v>
      </c>
      <c r="G1438" s="1">
        <v>1E-3</v>
      </c>
      <c r="H1438" s="1">
        <v>1E-3</v>
      </c>
      <c r="I1438" s="1">
        <v>1E-3</v>
      </c>
      <c r="J1438" s="1">
        <v>0.4138</v>
      </c>
    </row>
    <row r="1439" spans="1:10" x14ac:dyDescent="0.2">
      <c r="A1439" t="str">
        <f>"11/11/2020"</f>
        <v>11/11/2020</v>
      </c>
      <c r="B1439">
        <v>1</v>
      </c>
      <c r="C1439">
        <v>166000</v>
      </c>
      <c r="D1439">
        <v>380161</v>
      </c>
      <c r="E1439">
        <v>166000</v>
      </c>
      <c r="F1439">
        <v>166000</v>
      </c>
      <c r="G1439" s="1">
        <v>1E-3</v>
      </c>
      <c r="H1439" s="1">
        <v>1E-3</v>
      </c>
      <c r="I1439" s="1">
        <v>1E-3</v>
      </c>
      <c r="J1439" s="1">
        <v>0.41470000000000001</v>
      </c>
    </row>
    <row r="1440" spans="1:10" x14ac:dyDescent="0.2">
      <c r="A1440" t="str">
        <f>"10/11/2020"</f>
        <v>10/11/2020</v>
      </c>
      <c r="B1440">
        <v>1</v>
      </c>
      <c r="C1440">
        <v>168000</v>
      </c>
      <c r="D1440">
        <v>379785</v>
      </c>
      <c r="E1440">
        <v>168000</v>
      </c>
      <c r="F1440">
        <v>168000</v>
      </c>
      <c r="G1440" s="1">
        <v>1E-3</v>
      </c>
      <c r="H1440" s="1">
        <v>1E-3</v>
      </c>
      <c r="I1440" s="1">
        <v>1E-3</v>
      </c>
      <c r="J1440" s="1">
        <v>0.42120000000000002</v>
      </c>
    </row>
    <row r="1441" spans="1:10" x14ac:dyDescent="0.2">
      <c r="A1441" t="str">
        <f>"09/11/2020"</f>
        <v>09/11/2020</v>
      </c>
      <c r="B1441">
        <v>1</v>
      </c>
      <c r="C1441">
        <v>170000</v>
      </c>
      <c r="D1441">
        <v>377953</v>
      </c>
      <c r="E1441">
        <v>170000</v>
      </c>
      <c r="F1441">
        <v>170000</v>
      </c>
      <c r="G1441" s="1">
        <v>1E-3</v>
      </c>
      <c r="H1441" s="1">
        <v>1E-3</v>
      </c>
      <c r="I1441" s="1">
        <v>1E-3</v>
      </c>
      <c r="J1441" s="1">
        <v>0.42709999999999998</v>
      </c>
    </row>
    <row r="1442" spans="1:10" x14ac:dyDescent="0.2">
      <c r="A1442" t="str">
        <f>"08/11/2020"</f>
        <v>08/11/2020</v>
      </c>
      <c r="B1442">
        <v>1</v>
      </c>
      <c r="C1442">
        <v>169000</v>
      </c>
      <c r="D1442">
        <v>378185</v>
      </c>
      <c r="E1442">
        <v>169000</v>
      </c>
      <c r="F1442">
        <v>169000</v>
      </c>
      <c r="G1442" s="1">
        <v>1E-3</v>
      </c>
      <c r="H1442" s="1">
        <v>1E-3</v>
      </c>
      <c r="I1442" s="1">
        <v>1E-3</v>
      </c>
      <c r="J1442" s="1">
        <v>0.42559999999999998</v>
      </c>
    </row>
    <row r="1443" spans="1:10" x14ac:dyDescent="0.2">
      <c r="A1443" t="str">
        <f>"05/11/2020"</f>
        <v>05/11/2020</v>
      </c>
      <c r="B1443">
        <v>3</v>
      </c>
      <c r="C1443">
        <v>168000</v>
      </c>
      <c r="D1443">
        <v>387130</v>
      </c>
      <c r="E1443">
        <v>168000</v>
      </c>
      <c r="F1443">
        <v>168000</v>
      </c>
      <c r="G1443" s="1">
        <v>1E-3</v>
      </c>
      <c r="H1443" s="1">
        <v>1E-3</v>
      </c>
      <c r="I1443" s="1">
        <v>1E-3</v>
      </c>
      <c r="J1443" s="1">
        <v>0.4128</v>
      </c>
    </row>
    <row r="1444" spans="1:10" x14ac:dyDescent="0.2">
      <c r="A1444" t="str">
        <f>"04/11/2020"</f>
        <v>04/11/2020</v>
      </c>
      <c r="B1444">
        <v>1</v>
      </c>
      <c r="C1444">
        <v>171000</v>
      </c>
      <c r="D1444">
        <v>385762</v>
      </c>
      <c r="E1444">
        <v>171000</v>
      </c>
      <c r="F1444">
        <v>171000</v>
      </c>
      <c r="G1444" s="1">
        <v>1E-3</v>
      </c>
      <c r="H1444" s="1">
        <v>1E-3</v>
      </c>
      <c r="I1444" s="1">
        <v>1E-3</v>
      </c>
      <c r="J1444" s="1">
        <v>0.42259999999999998</v>
      </c>
    </row>
    <row r="1445" spans="1:10" x14ac:dyDescent="0.2">
      <c r="A1445" t="str">
        <f>"03/11/2020"</f>
        <v>03/11/2020</v>
      </c>
      <c r="B1445">
        <v>1</v>
      </c>
      <c r="C1445">
        <v>169000</v>
      </c>
      <c r="D1445">
        <v>395091</v>
      </c>
      <c r="E1445">
        <v>169000</v>
      </c>
      <c r="F1445">
        <v>169000</v>
      </c>
      <c r="G1445" s="1">
        <v>1E-3</v>
      </c>
      <c r="H1445" s="1">
        <v>1E-3</v>
      </c>
      <c r="I1445" s="1">
        <v>1E-3</v>
      </c>
      <c r="J1445" s="1">
        <v>0.40970000000000001</v>
      </c>
    </row>
    <row r="1446" spans="1:10" x14ac:dyDescent="0.2">
      <c r="A1446" t="str">
        <f>"02/11/2020"</f>
        <v>02/11/2020</v>
      </c>
      <c r="B1446">
        <v>1</v>
      </c>
      <c r="C1446">
        <v>173000</v>
      </c>
      <c r="D1446">
        <v>400103</v>
      </c>
      <c r="E1446">
        <v>173000</v>
      </c>
      <c r="F1446">
        <v>173000</v>
      </c>
      <c r="G1446" s="1">
        <v>1E-3</v>
      </c>
      <c r="H1446" s="1">
        <v>1E-3</v>
      </c>
      <c r="I1446" s="1">
        <v>1E-3</v>
      </c>
      <c r="J1446" s="1">
        <v>0.41220000000000001</v>
      </c>
    </row>
    <row r="1447" spans="1:10" x14ac:dyDescent="0.2">
      <c r="A1447" t="str">
        <f>"01/11/2020"</f>
        <v>01/11/2020</v>
      </c>
      <c r="B1447">
        <v>1</v>
      </c>
      <c r="C1447">
        <v>171000</v>
      </c>
      <c r="D1447">
        <v>405810</v>
      </c>
      <c r="E1447">
        <v>171000</v>
      </c>
      <c r="F1447">
        <v>171000</v>
      </c>
      <c r="G1447" s="1">
        <v>1E-3</v>
      </c>
      <c r="H1447" s="1">
        <v>1E-3</v>
      </c>
      <c r="I1447" s="1">
        <v>1E-3</v>
      </c>
      <c r="J1447" s="1">
        <v>0.39939999999999998</v>
      </c>
    </row>
    <row r="1448" spans="1:10" x14ac:dyDescent="0.2">
      <c r="A1448" t="str">
        <f>"29/10/2020"</f>
        <v>29/10/2020</v>
      </c>
      <c r="B1448">
        <v>3</v>
      </c>
      <c r="C1448">
        <v>159000</v>
      </c>
      <c r="D1448">
        <v>364719</v>
      </c>
      <c r="E1448">
        <v>159000</v>
      </c>
      <c r="F1448">
        <v>159000</v>
      </c>
      <c r="G1448" s="1">
        <v>1E-3</v>
      </c>
      <c r="H1448" s="1">
        <v>1E-3</v>
      </c>
      <c r="I1448" s="1">
        <v>1E-3</v>
      </c>
      <c r="J1448" s="1">
        <v>0.41520000000000001</v>
      </c>
    </row>
    <row r="1449" spans="1:10" x14ac:dyDescent="0.2">
      <c r="A1449" t="str">
        <f>"28/10/2020"</f>
        <v>28/10/2020</v>
      </c>
      <c r="B1449">
        <v>1</v>
      </c>
      <c r="C1449">
        <v>154000</v>
      </c>
      <c r="D1449">
        <v>360076</v>
      </c>
      <c r="E1449">
        <v>154000</v>
      </c>
      <c r="F1449">
        <v>154000</v>
      </c>
      <c r="G1449" s="1">
        <v>1E-3</v>
      </c>
      <c r="H1449" s="1">
        <v>1E-3</v>
      </c>
      <c r="I1449" s="1">
        <v>1E-3</v>
      </c>
      <c r="J1449" s="1">
        <v>0.4078</v>
      </c>
    </row>
    <row r="1450" spans="1:10" x14ac:dyDescent="0.2">
      <c r="A1450" t="str">
        <f>"27/10/2020"</f>
        <v>27/10/2020</v>
      </c>
      <c r="B1450">
        <v>1</v>
      </c>
      <c r="C1450">
        <v>148000</v>
      </c>
      <c r="D1450">
        <v>373625</v>
      </c>
      <c r="E1450">
        <v>148000</v>
      </c>
      <c r="F1450">
        <v>148000</v>
      </c>
      <c r="G1450" s="1">
        <v>1E-3</v>
      </c>
      <c r="H1450" s="1">
        <v>1E-3</v>
      </c>
      <c r="I1450" s="1">
        <v>1E-3</v>
      </c>
      <c r="J1450" s="1">
        <v>0.376</v>
      </c>
    </row>
    <row r="1451" spans="1:10" x14ac:dyDescent="0.2">
      <c r="A1451" t="str">
        <f>"26/10/2020"</f>
        <v>26/10/2020</v>
      </c>
      <c r="B1451">
        <v>1</v>
      </c>
      <c r="C1451">
        <v>153000</v>
      </c>
      <c r="D1451">
        <v>374248</v>
      </c>
      <c r="E1451">
        <v>153000</v>
      </c>
      <c r="F1451">
        <v>153000</v>
      </c>
      <c r="G1451" s="1">
        <v>1E-3</v>
      </c>
      <c r="H1451" s="1">
        <v>1E-3</v>
      </c>
      <c r="I1451" s="1">
        <v>1E-3</v>
      </c>
      <c r="J1451" s="1">
        <v>0.38600000000000001</v>
      </c>
    </row>
    <row r="1452" spans="1:10" x14ac:dyDescent="0.2">
      <c r="A1452" t="str">
        <f>"25/10/2020"</f>
        <v>25/10/2020</v>
      </c>
      <c r="B1452">
        <v>1</v>
      </c>
      <c r="C1452">
        <v>151000</v>
      </c>
      <c r="D1452">
        <v>346475</v>
      </c>
      <c r="E1452">
        <v>151000</v>
      </c>
      <c r="F1452">
        <v>151000</v>
      </c>
      <c r="G1452" s="1">
        <v>1E-3</v>
      </c>
      <c r="H1452" s="1">
        <v>1E-3</v>
      </c>
      <c r="I1452" s="1">
        <v>1E-3</v>
      </c>
      <c r="J1452" s="1">
        <v>0.41489999999999999</v>
      </c>
    </row>
    <row r="1453" spans="1:10" x14ac:dyDescent="0.2">
      <c r="A1453" t="str">
        <f>"22/10/2020"</f>
        <v>22/10/2020</v>
      </c>
      <c r="B1453">
        <v>3</v>
      </c>
      <c r="C1453">
        <v>151000</v>
      </c>
      <c r="D1453">
        <v>280382</v>
      </c>
      <c r="E1453">
        <v>151000</v>
      </c>
      <c r="F1453">
        <v>151000</v>
      </c>
      <c r="G1453" s="1">
        <v>1E-3</v>
      </c>
      <c r="H1453" s="1">
        <v>1E-3</v>
      </c>
      <c r="I1453" s="1">
        <v>1E-3</v>
      </c>
      <c r="J1453" s="1">
        <v>0.51529999999999998</v>
      </c>
    </row>
    <row r="1454" spans="1:10" x14ac:dyDescent="0.2">
      <c r="A1454" t="str">
        <f>"21/10/2020"</f>
        <v>21/10/2020</v>
      </c>
      <c r="B1454">
        <v>1</v>
      </c>
      <c r="C1454">
        <v>142000</v>
      </c>
      <c r="D1454">
        <v>140362</v>
      </c>
      <c r="E1454">
        <v>140362</v>
      </c>
      <c r="F1454">
        <v>140362</v>
      </c>
      <c r="G1454" s="1">
        <v>1E-3</v>
      </c>
      <c r="H1454" s="1">
        <v>1E-3</v>
      </c>
      <c r="I1454" s="1">
        <v>1E-3</v>
      </c>
      <c r="J1454" s="1">
        <v>1</v>
      </c>
    </row>
    <row r="1455" spans="1:10" x14ac:dyDescent="0.2">
      <c r="A1455" t="str">
        <f>"20/10/2020"</f>
        <v>20/10/2020</v>
      </c>
      <c r="B1455">
        <v>1</v>
      </c>
      <c r="C1455">
        <v>155000</v>
      </c>
      <c r="D1455">
        <v>315715</v>
      </c>
      <c r="E1455">
        <v>155000</v>
      </c>
      <c r="F1455">
        <v>155000</v>
      </c>
      <c r="G1455" s="1">
        <v>1E-3</v>
      </c>
      <c r="H1455" s="1">
        <v>1E-3</v>
      </c>
      <c r="I1455" s="1">
        <v>1E-3</v>
      </c>
      <c r="J1455" s="1">
        <v>0.44890000000000002</v>
      </c>
    </row>
    <row r="1456" spans="1:10" x14ac:dyDescent="0.2">
      <c r="A1456" t="str">
        <f>"19/10/2020"</f>
        <v>19/10/2020</v>
      </c>
      <c r="B1456">
        <v>1</v>
      </c>
      <c r="C1456">
        <v>159000</v>
      </c>
      <c r="D1456">
        <v>330562</v>
      </c>
      <c r="E1456">
        <v>159000</v>
      </c>
      <c r="F1456">
        <v>159000</v>
      </c>
      <c r="G1456" s="1">
        <v>1E-3</v>
      </c>
      <c r="H1456" s="1">
        <v>1E-3</v>
      </c>
      <c r="I1456" s="1">
        <v>1E-3</v>
      </c>
      <c r="J1456" s="1">
        <v>0.43380000000000002</v>
      </c>
    </row>
    <row r="1457" spans="1:10" x14ac:dyDescent="0.2">
      <c r="A1457" t="str">
        <f>"18/10/2020"</f>
        <v>18/10/2020</v>
      </c>
      <c r="B1457">
        <v>1</v>
      </c>
      <c r="C1457">
        <v>155000</v>
      </c>
      <c r="D1457">
        <v>349630</v>
      </c>
      <c r="E1457">
        <v>155000</v>
      </c>
      <c r="F1457">
        <v>155000</v>
      </c>
      <c r="G1457" s="1">
        <v>1E-3</v>
      </c>
      <c r="H1457" s="1">
        <v>1E-3</v>
      </c>
      <c r="I1457" s="1">
        <v>1E-3</v>
      </c>
      <c r="J1457" s="1">
        <v>0.42399999999999999</v>
      </c>
    </row>
    <row r="1458" spans="1:10" x14ac:dyDescent="0.2">
      <c r="A1458" t="str">
        <f>"15/10/2020"</f>
        <v>15/10/2020</v>
      </c>
      <c r="B1458">
        <v>3</v>
      </c>
      <c r="C1458">
        <v>162000</v>
      </c>
      <c r="D1458">
        <v>359085</v>
      </c>
      <c r="E1458">
        <v>162000</v>
      </c>
      <c r="F1458">
        <v>162000</v>
      </c>
      <c r="G1458" s="1">
        <v>1E-3</v>
      </c>
      <c r="H1458" s="1">
        <v>1E-3</v>
      </c>
      <c r="I1458" s="1">
        <v>1E-3</v>
      </c>
      <c r="J1458" s="1">
        <v>0.43190000000000001</v>
      </c>
    </row>
    <row r="1459" spans="1:10" x14ac:dyDescent="0.2">
      <c r="A1459" t="str">
        <f>"14/10/2020"</f>
        <v>14/10/2020</v>
      </c>
      <c r="B1459">
        <v>1</v>
      </c>
      <c r="C1459">
        <v>162000</v>
      </c>
      <c r="D1459">
        <v>380365</v>
      </c>
      <c r="E1459">
        <v>162000</v>
      </c>
      <c r="F1459">
        <v>162000</v>
      </c>
      <c r="G1459" s="1">
        <v>1E-3</v>
      </c>
      <c r="H1459" s="1">
        <v>1E-3</v>
      </c>
      <c r="I1459" s="1">
        <v>1E-3</v>
      </c>
      <c r="J1459" s="1">
        <v>0.40489999999999998</v>
      </c>
    </row>
    <row r="1460" spans="1:10" x14ac:dyDescent="0.2">
      <c r="A1460" t="str">
        <f>"13/10/2020"</f>
        <v>13/10/2020</v>
      </c>
      <c r="B1460">
        <v>1</v>
      </c>
      <c r="C1460">
        <v>160000</v>
      </c>
      <c r="D1460">
        <v>382005</v>
      </c>
      <c r="E1460">
        <v>160000</v>
      </c>
      <c r="F1460">
        <v>160000</v>
      </c>
      <c r="G1460" s="1">
        <v>1E-3</v>
      </c>
      <c r="H1460" s="1">
        <v>1E-3</v>
      </c>
      <c r="I1460" s="1">
        <v>1E-3</v>
      </c>
      <c r="J1460" s="1">
        <v>0.39750000000000002</v>
      </c>
    </row>
    <row r="1461" spans="1:10" x14ac:dyDescent="0.2">
      <c r="A1461" t="str">
        <f>"12/10/2020"</f>
        <v>12/10/2020</v>
      </c>
      <c r="B1461">
        <v>1</v>
      </c>
      <c r="C1461">
        <v>161000</v>
      </c>
      <c r="D1461">
        <v>388838</v>
      </c>
      <c r="E1461">
        <v>161000</v>
      </c>
      <c r="F1461">
        <v>161000</v>
      </c>
      <c r="G1461" s="1">
        <v>1E-3</v>
      </c>
      <c r="H1461" s="1">
        <v>1E-3</v>
      </c>
      <c r="I1461" s="1">
        <v>1E-3</v>
      </c>
      <c r="J1461" s="1">
        <v>0.39169999999999999</v>
      </c>
    </row>
    <row r="1462" spans="1:10" x14ac:dyDescent="0.2">
      <c r="A1462" t="str">
        <f>"11/10/2020"</f>
        <v>11/10/2020</v>
      </c>
      <c r="B1462">
        <v>1</v>
      </c>
      <c r="C1462">
        <v>161000</v>
      </c>
      <c r="D1462">
        <v>383495</v>
      </c>
      <c r="E1462">
        <v>161000</v>
      </c>
      <c r="F1462">
        <v>161000</v>
      </c>
      <c r="G1462" s="1">
        <v>1E-3</v>
      </c>
      <c r="H1462" s="1">
        <v>1E-3</v>
      </c>
      <c r="I1462" s="1">
        <v>1E-3</v>
      </c>
      <c r="J1462" s="1">
        <v>0.39850000000000002</v>
      </c>
    </row>
    <row r="1463" spans="1:10" x14ac:dyDescent="0.2">
      <c r="A1463" t="str">
        <f>"08/10/2020"</f>
        <v>08/10/2020</v>
      </c>
      <c r="B1463">
        <v>3</v>
      </c>
      <c r="C1463">
        <v>161000</v>
      </c>
      <c r="D1463">
        <v>377030</v>
      </c>
      <c r="E1463">
        <v>161000</v>
      </c>
      <c r="F1463">
        <v>161000</v>
      </c>
      <c r="G1463" s="1">
        <v>1E-3</v>
      </c>
      <c r="H1463" s="1">
        <v>1E-3</v>
      </c>
      <c r="I1463" s="1">
        <v>1E-3</v>
      </c>
      <c r="J1463" s="1">
        <v>0.40439999999999998</v>
      </c>
    </row>
    <row r="1464" spans="1:10" x14ac:dyDescent="0.2">
      <c r="A1464" t="str">
        <f>"07/10/2020"</f>
        <v>07/10/2020</v>
      </c>
      <c r="B1464">
        <v>1</v>
      </c>
      <c r="C1464">
        <v>161000</v>
      </c>
      <c r="D1464">
        <v>371180</v>
      </c>
      <c r="E1464">
        <v>161000</v>
      </c>
      <c r="F1464">
        <v>161000</v>
      </c>
      <c r="G1464" s="1">
        <v>1E-3</v>
      </c>
      <c r="H1464" s="1">
        <v>1E-3</v>
      </c>
      <c r="I1464" s="1">
        <v>1E-3</v>
      </c>
      <c r="J1464" s="1">
        <v>0.4108</v>
      </c>
    </row>
    <row r="1465" spans="1:10" x14ac:dyDescent="0.2">
      <c r="A1465" t="str">
        <f>"06/10/2020"</f>
        <v>06/10/2020</v>
      </c>
      <c r="B1465">
        <v>1</v>
      </c>
      <c r="C1465">
        <v>161000</v>
      </c>
      <c r="D1465">
        <v>388735</v>
      </c>
      <c r="E1465">
        <v>161000</v>
      </c>
      <c r="F1465">
        <v>161000</v>
      </c>
      <c r="G1465" s="1">
        <v>1E-3</v>
      </c>
      <c r="H1465" s="1">
        <v>1E-3</v>
      </c>
      <c r="I1465" s="1">
        <v>1E-3</v>
      </c>
      <c r="J1465" s="1">
        <v>0.3926</v>
      </c>
    </row>
    <row r="1466" spans="1:10" x14ac:dyDescent="0.2">
      <c r="A1466" t="str">
        <f>"05/10/2020"</f>
        <v>05/10/2020</v>
      </c>
      <c r="B1466">
        <v>1</v>
      </c>
      <c r="C1466">
        <v>161000</v>
      </c>
      <c r="D1466">
        <v>394000</v>
      </c>
      <c r="E1466">
        <v>161000</v>
      </c>
      <c r="F1466">
        <v>161000</v>
      </c>
      <c r="G1466" s="1">
        <v>1E-3</v>
      </c>
      <c r="H1466" s="1">
        <v>1E-3</v>
      </c>
      <c r="I1466" s="1">
        <v>1E-3</v>
      </c>
      <c r="J1466" s="1">
        <v>0.38569999999999999</v>
      </c>
    </row>
    <row r="1467" spans="1:10" x14ac:dyDescent="0.2">
      <c r="A1467" t="str">
        <f>"04/10/2020"</f>
        <v>04/10/2020</v>
      </c>
      <c r="B1467">
        <v>1</v>
      </c>
      <c r="C1467">
        <v>160000</v>
      </c>
      <c r="D1467">
        <v>390640</v>
      </c>
      <c r="E1467">
        <v>160000</v>
      </c>
      <c r="F1467">
        <v>160000</v>
      </c>
      <c r="G1467" s="1">
        <v>1E-3</v>
      </c>
      <c r="H1467" s="1">
        <v>1E-3</v>
      </c>
      <c r="I1467" s="1">
        <v>1E-3</v>
      </c>
      <c r="J1467" s="1">
        <v>0.3821</v>
      </c>
    </row>
    <row r="1468" spans="1:10" x14ac:dyDescent="0.2">
      <c r="A1468" t="str">
        <f>"01/10/2020"</f>
        <v>01/10/2020</v>
      </c>
      <c r="B1468">
        <v>3</v>
      </c>
      <c r="C1468">
        <v>159000</v>
      </c>
      <c r="D1468">
        <v>387373</v>
      </c>
      <c r="E1468">
        <v>159000</v>
      </c>
      <c r="F1468">
        <v>159000</v>
      </c>
      <c r="G1468" s="1">
        <v>1E-3</v>
      </c>
      <c r="H1468" s="1">
        <v>1E-3</v>
      </c>
      <c r="I1468" s="1">
        <v>1E-3</v>
      </c>
      <c r="J1468" s="1">
        <v>0.3831</v>
      </c>
    </row>
    <row r="1469" spans="1:10" x14ac:dyDescent="0.2">
      <c r="A1469" t="str">
        <f>"30/09/2020"</f>
        <v>30/09/2020</v>
      </c>
      <c r="B1469">
        <v>1</v>
      </c>
      <c r="C1469">
        <v>151000</v>
      </c>
      <c r="D1469">
        <v>387058</v>
      </c>
      <c r="E1469">
        <v>151000</v>
      </c>
      <c r="F1469">
        <v>151000</v>
      </c>
      <c r="G1469" s="1">
        <v>1E-3</v>
      </c>
      <c r="H1469" s="1">
        <v>1E-3</v>
      </c>
      <c r="I1469" s="1">
        <v>1E-3</v>
      </c>
      <c r="J1469" s="1">
        <v>0.36449999999999999</v>
      </c>
    </row>
    <row r="1470" spans="1:10" x14ac:dyDescent="0.2">
      <c r="A1470" t="str">
        <f>"29/09/2020"</f>
        <v>29/09/2020</v>
      </c>
      <c r="B1470">
        <v>1</v>
      </c>
      <c r="C1470">
        <v>148000</v>
      </c>
      <c r="D1470">
        <v>358995</v>
      </c>
      <c r="E1470">
        <v>148000</v>
      </c>
      <c r="F1470">
        <v>148000</v>
      </c>
      <c r="G1470" s="1">
        <v>1E-3</v>
      </c>
      <c r="H1470" s="1">
        <v>1E-3</v>
      </c>
      <c r="I1470" s="1">
        <v>1E-3</v>
      </c>
      <c r="J1470" s="1">
        <v>0.38500000000000001</v>
      </c>
    </row>
    <row r="1471" spans="1:10" x14ac:dyDescent="0.2">
      <c r="A1471" t="str">
        <f>"24/09/2020"</f>
        <v>24/09/2020</v>
      </c>
      <c r="B1471">
        <v>5</v>
      </c>
      <c r="C1471">
        <v>148000</v>
      </c>
      <c r="D1471">
        <v>300635</v>
      </c>
      <c r="E1471">
        <v>148000</v>
      </c>
      <c r="F1471">
        <v>148000</v>
      </c>
      <c r="G1471" s="1">
        <v>1E-3</v>
      </c>
      <c r="H1471" s="1">
        <v>1E-3</v>
      </c>
      <c r="I1471" s="1">
        <v>1E-3</v>
      </c>
      <c r="J1471" s="1">
        <v>0.4597</v>
      </c>
    </row>
    <row r="1472" spans="1:10" x14ac:dyDescent="0.2">
      <c r="A1472" t="str">
        <f>"23/09/2020"</f>
        <v>23/09/2020</v>
      </c>
      <c r="B1472">
        <v>1</v>
      </c>
      <c r="C1472">
        <v>141000</v>
      </c>
      <c r="D1472">
        <v>276772</v>
      </c>
      <c r="E1472">
        <v>141000</v>
      </c>
      <c r="F1472">
        <v>141000</v>
      </c>
      <c r="G1472" s="1">
        <v>1E-3</v>
      </c>
      <c r="H1472" s="1">
        <v>1E-3</v>
      </c>
      <c r="I1472" s="1">
        <v>1E-3</v>
      </c>
      <c r="J1472" s="1">
        <v>0.48509999999999998</v>
      </c>
    </row>
    <row r="1473" spans="1:10" x14ac:dyDescent="0.2">
      <c r="A1473" t="str">
        <f>"22/09/2020"</f>
        <v>22/09/2020</v>
      </c>
      <c r="B1473">
        <v>1</v>
      </c>
      <c r="C1473">
        <v>142000</v>
      </c>
      <c r="D1473">
        <v>292480</v>
      </c>
      <c r="E1473">
        <v>142000</v>
      </c>
      <c r="F1473">
        <v>142000</v>
      </c>
      <c r="G1473" s="1">
        <v>1E-3</v>
      </c>
      <c r="H1473" s="1">
        <v>1E-3</v>
      </c>
      <c r="I1473" s="1">
        <v>1E-3</v>
      </c>
      <c r="J1473" s="1">
        <v>0.46050000000000002</v>
      </c>
    </row>
    <row r="1474" spans="1:10" x14ac:dyDescent="0.2">
      <c r="A1474" t="str">
        <f>"21/09/2020"</f>
        <v>21/09/2020</v>
      </c>
      <c r="B1474">
        <v>1</v>
      </c>
      <c r="C1474">
        <v>147000</v>
      </c>
      <c r="D1474">
        <v>308971</v>
      </c>
      <c r="E1474">
        <v>147000</v>
      </c>
      <c r="F1474">
        <v>147000</v>
      </c>
      <c r="G1474" s="1">
        <v>1E-3</v>
      </c>
      <c r="H1474" s="1">
        <v>1E-3</v>
      </c>
      <c r="I1474" s="1">
        <v>1E-3</v>
      </c>
      <c r="J1474" s="1">
        <v>0.45229999999999998</v>
      </c>
    </row>
    <row r="1475" spans="1:10" x14ac:dyDescent="0.2">
      <c r="A1475" t="str">
        <f>"17/09/2020"</f>
        <v>17/09/2020</v>
      </c>
      <c r="B1475">
        <v>4</v>
      </c>
      <c r="C1475">
        <v>148000</v>
      </c>
      <c r="D1475">
        <v>332037</v>
      </c>
      <c r="E1475">
        <v>148000</v>
      </c>
      <c r="F1475">
        <v>148000</v>
      </c>
      <c r="G1475" s="1">
        <v>1E-3</v>
      </c>
      <c r="H1475" s="1">
        <v>1E-3</v>
      </c>
      <c r="I1475" s="1">
        <v>1E-3</v>
      </c>
      <c r="J1475" s="1">
        <v>0.42099999999999999</v>
      </c>
    </row>
    <row r="1476" spans="1:10" x14ac:dyDescent="0.2">
      <c r="A1476" t="str">
        <f>"16/09/2020"</f>
        <v>16/09/2020</v>
      </c>
      <c r="B1476">
        <v>1</v>
      </c>
      <c r="C1476">
        <v>150000</v>
      </c>
      <c r="D1476">
        <v>336982</v>
      </c>
      <c r="E1476">
        <v>150000</v>
      </c>
      <c r="F1476">
        <v>150000</v>
      </c>
      <c r="G1476" s="1">
        <v>1E-3</v>
      </c>
      <c r="H1476" s="1">
        <v>1E-3</v>
      </c>
      <c r="I1476" s="1">
        <v>1E-3</v>
      </c>
      <c r="J1476" s="1">
        <v>0.4209</v>
      </c>
    </row>
    <row r="1477" spans="1:10" x14ac:dyDescent="0.2">
      <c r="A1477" t="str">
        <f>"15/09/2020"</f>
        <v>15/09/2020</v>
      </c>
      <c r="B1477">
        <v>1</v>
      </c>
      <c r="C1477">
        <v>158000</v>
      </c>
      <c r="D1477">
        <v>354460</v>
      </c>
      <c r="E1477">
        <v>158000</v>
      </c>
      <c r="F1477">
        <v>158000</v>
      </c>
      <c r="G1477" s="1">
        <v>1E-3</v>
      </c>
      <c r="H1477" s="1">
        <v>1E-3</v>
      </c>
      <c r="I1477" s="1">
        <v>1E-3</v>
      </c>
      <c r="J1477" s="1">
        <v>0.42120000000000002</v>
      </c>
    </row>
    <row r="1478" spans="1:10" x14ac:dyDescent="0.2">
      <c r="A1478" t="str">
        <f>"14/09/2020"</f>
        <v>14/09/2020</v>
      </c>
      <c r="B1478">
        <v>1</v>
      </c>
      <c r="C1478">
        <v>159000</v>
      </c>
      <c r="D1478">
        <v>355748</v>
      </c>
      <c r="E1478">
        <v>159000</v>
      </c>
      <c r="F1478">
        <v>159000</v>
      </c>
      <c r="G1478" s="1">
        <v>1E-3</v>
      </c>
      <c r="H1478" s="1">
        <v>1E-3</v>
      </c>
      <c r="I1478" s="1">
        <v>1E-3</v>
      </c>
      <c r="J1478" s="1">
        <v>0.42080000000000001</v>
      </c>
    </row>
    <row r="1479" spans="1:10" x14ac:dyDescent="0.2">
      <c r="A1479" t="str">
        <f>"13/09/2020"</f>
        <v>13/09/2020</v>
      </c>
      <c r="B1479">
        <v>1</v>
      </c>
      <c r="C1479">
        <v>158000</v>
      </c>
      <c r="D1479">
        <v>358370</v>
      </c>
      <c r="E1479">
        <v>158000</v>
      </c>
      <c r="F1479">
        <v>158000</v>
      </c>
      <c r="G1479" s="1">
        <v>1E-3</v>
      </c>
      <c r="H1479" s="1">
        <v>1E-3</v>
      </c>
      <c r="I1479" s="1">
        <v>1E-3</v>
      </c>
      <c r="J1479" s="1">
        <v>0.41489999999999999</v>
      </c>
    </row>
    <row r="1480" spans="1:10" x14ac:dyDescent="0.2">
      <c r="A1480" t="str">
        <f>"10/09/2020"</f>
        <v>10/09/2020</v>
      </c>
      <c r="B1480">
        <v>3</v>
      </c>
      <c r="C1480">
        <v>158000</v>
      </c>
      <c r="D1480">
        <v>335728</v>
      </c>
      <c r="E1480">
        <v>158000</v>
      </c>
      <c r="F1480">
        <v>158000</v>
      </c>
      <c r="G1480" s="1">
        <v>1E-3</v>
      </c>
      <c r="H1480" s="1">
        <v>1E-3</v>
      </c>
      <c r="I1480" s="1">
        <v>1E-3</v>
      </c>
      <c r="J1480" s="1">
        <v>0.4446</v>
      </c>
    </row>
    <row r="1481" spans="1:10" x14ac:dyDescent="0.2">
      <c r="A1481" t="str">
        <f>"09/09/2020"</f>
        <v>09/09/2020</v>
      </c>
      <c r="B1481">
        <v>1</v>
      </c>
      <c r="C1481">
        <v>156000</v>
      </c>
      <c r="D1481">
        <v>330670</v>
      </c>
      <c r="E1481">
        <v>156000</v>
      </c>
      <c r="F1481">
        <v>156000</v>
      </c>
      <c r="G1481" s="1">
        <v>1E-3</v>
      </c>
      <c r="H1481" s="1">
        <v>1E-3</v>
      </c>
      <c r="I1481" s="1">
        <v>1E-3</v>
      </c>
      <c r="J1481" s="1">
        <v>0.44359999999999999</v>
      </c>
    </row>
    <row r="1482" spans="1:10" x14ac:dyDescent="0.2">
      <c r="A1482" t="str">
        <f>"08/09/2020"</f>
        <v>08/09/2020</v>
      </c>
      <c r="B1482">
        <v>1</v>
      </c>
      <c r="C1482">
        <v>156000</v>
      </c>
      <c r="D1482">
        <v>343170</v>
      </c>
      <c r="E1482">
        <v>156000</v>
      </c>
      <c r="F1482">
        <v>156000</v>
      </c>
      <c r="G1482" s="1">
        <v>1E-3</v>
      </c>
      <c r="H1482" s="1">
        <v>1E-3</v>
      </c>
      <c r="I1482" s="1">
        <v>1E-3</v>
      </c>
      <c r="J1482" s="1">
        <v>0.42759999999999998</v>
      </c>
    </row>
    <row r="1483" spans="1:10" x14ac:dyDescent="0.2">
      <c r="A1483" t="str">
        <f>"07/09/2020"</f>
        <v>07/09/2020</v>
      </c>
      <c r="B1483">
        <v>1</v>
      </c>
      <c r="C1483">
        <v>158000</v>
      </c>
      <c r="D1483">
        <v>348225</v>
      </c>
      <c r="E1483">
        <v>158000</v>
      </c>
      <c r="F1483">
        <v>158000</v>
      </c>
      <c r="G1483" s="1">
        <v>1E-3</v>
      </c>
      <c r="H1483" s="1">
        <v>1E-3</v>
      </c>
      <c r="I1483" s="1">
        <v>1E-3</v>
      </c>
      <c r="J1483" s="1">
        <v>0.4294</v>
      </c>
    </row>
    <row r="1484" spans="1:10" x14ac:dyDescent="0.2">
      <c r="A1484" t="str">
        <f>"06/09/2020"</f>
        <v>06/09/2020</v>
      </c>
      <c r="B1484">
        <v>1</v>
      </c>
      <c r="C1484">
        <v>158000</v>
      </c>
      <c r="D1484">
        <v>352360</v>
      </c>
      <c r="E1484">
        <v>158000</v>
      </c>
      <c r="F1484">
        <v>158000</v>
      </c>
      <c r="G1484" s="1">
        <v>1E-3</v>
      </c>
      <c r="H1484" s="1">
        <v>1E-3</v>
      </c>
      <c r="I1484" s="1">
        <v>1E-3</v>
      </c>
      <c r="J1484" s="1">
        <v>0.42730000000000001</v>
      </c>
    </row>
    <row r="1485" spans="1:10" x14ac:dyDescent="0.2">
      <c r="A1485" t="str">
        <f>"03/09/2020"</f>
        <v>03/09/2020</v>
      </c>
      <c r="B1485">
        <v>3</v>
      </c>
      <c r="C1485">
        <v>158000</v>
      </c>
      <c r="D1485">
        <v>361969</v>
      </c>
      <c r="E1485">
        <v>158000</v>
      </c>
      <c r="F1485">
        <v>158000</v>
      </c>
      <c r="G1485" s="1">
        <v>1E-3</v>
      </c>
      <c r="H1485" s="1">
        <v>1E-3</v>
      </c>
      <c r="I1485" s="1">
        <v>1E-3</v>
      </c>
      <c r="J1485" s="1">
        <v>0.41560000000000002</v>
      </c>
    </row>
    <row r="1486" spans="1:10" x14ac:dyDescent="0.2">
      <c r="A1486" t="str">
        <f>"02/09/2020"</f>
        <v>02/09/2020</v>
      </c>
      <c r="B1486">
        <v>1</v>
      </c>
      <c r="C1486">
        <v>160000</v>
      </c>
      <c r="D1486">
        <v>388760</v>
      </c>
      <c r="E1486">
        <v>160000</v>
      </c>
      <c r="F1486">
        <v>160000</v>
      </c>
      <c r="G1486" s="1">
        <v>1E-3</v>
      </c>
      <c r="H1486" s="1">
        <v>1E-3</v>
      </c>
      <c r="I1486" s="1">
        <v>1E-3</v>
      </c>
      <c r="J1486" s="1">
        <v>0.38650000000000001</v>
      </c>
    </row>
    <row r="1487" spans="1:10" x14ac:dyDescent="0.2">
      <c r="A1487" t="str">
        <f>"01/09/2020"</f>
        <v>01/09/2020</v>
      </c>
      <c r="B1487">
        <v>1</v>
      </c>
      <c r="C1487">
        <v>155000</v>
      </c>
      <c r="D1487">
        <v>398677</v>
      </c>
      <c r="E1487">
        <v>155000</v>
      </c>
      <c r="F1487">
        <v>155000</v>
      </c>
      <c r="G1487" s="1">
        <v>1E-3</v>
      </c>
      <c r="H1487" s="1">
        <v>1E-3</v>
      </c>
      <c r="I1487" s="1">
        <v>1E-3</v>
      </c>
      <c r="J1487" s="1">
        <v>0.36430000000000001</v>
      </c>
    </row>
    <row r="1488" spans="1:10" x14ac:dyDescent="0.2">
      <c r="A1488" t="str">
        <f>"31/08/2020"</f>
        <v>31/08/2020</v>
      </c>
      <c r="B1488">
        <v>1</v>
      </c>
      <c r="C1488">
        <v>150000</v>
      </c>
      <c r="D1488">
        <v>376643</v>
      </c>
      <c r="E1488">
        <v>150000</v>
      </c>
      <c r="F1488">
        <v>150000</v>
      </c>
      <c r="G1488" s="1">
        <v>1E-3</v>
      </c>
      <c r="H1488" s="1">
        <v>1E-3</v>
      </c>
      <c r="I1488" s="1">
        <v>1E-3</v>
      </c>
      <c r="J1488" s="1">
        <v>0.37469999999999998</v>
      </c>
    </row>
    <row r="1489" spans="1:10" x14ac:dyDescent="0.2">
      <c r="A1489" t="str">
        <f>"30/08/2020"</f>
        <v>30/08/2020</v>
      </c>
      <c r="B1489">
        <v>1</v>
      </c>
      <c r="C1489">
        <v>145000</v>
      </c>
      <c r="D1489">
        <v>332450</v>
      </c>
      <c r="E1489">
        <v>145000</v>
      </c>
      <c r="F1489">
        <v>145000</v>
      </c>
      <c r="G1489" s="1">
        <v>1E-3</v>
      </c>
      <c r="H1489" s="1">
        <v>1E-3</v>
      </c>
      <c r="I1489" s="1">
        <v>1E-3</v>
      </c>
      <c r="J1489" s="1">
        <v>0.41110000000000002</v>
      </c>
    </row>
    <row r="1490" spans="1:10" x14ac:dyDescent="0.2">
      <c r="A1490" t="str">
        <f>"27/08/2020"</f>
        <v>27/08/2020</v>
      </c>
      <c r="B1490">
        <v>3</v>
      </c>
      <c r="C1490">
        <v>141000</v>
      </c>
      <c r="D1490">
        <v>255360</v>
      </c>
      <c r="E1490">
        <v>141000</v>
      </c>
      <c r="F1490">
        <v>141000</v>
      </c>
      <c r="G1490" s="1">
        <v>1E-3</v>
      </c>
      <c r="H1490" s="1">
        <v>1E-3</v>
      </c>
      <c r="I1490" s="1">
        <v>1E-3</v>
      </c>
      <c r="J1490" s="1">
        <v>0.5292</v>
      </c>
    </row>
    <row r="1491" spans="1:10" x14ac:dyDescent="0.2">
      <c r="A1491" t="str">
        <f>"26/08/2020"</f>
        <v>26/08/2020</v>
      </c>
      <c r="B1491">
        <v>1</v>
      </c>
      <c r="C1491">
        <v>130000</v>
      </c>
      <c r="D1491">
        <v>122436</v>
      </c>
      <c r="E1491">
        <v>122436</v>
      </c>
      <c r="F1491">
        <v>122436</v>
      </c>
      <c r="G1491" s="1">
        <v>1E-3</v>
      </c>
      <c r="H1491" s="1">
        <v>1E-3</v>
      </c>
      <c r="I1491" s="1">
        <v>1E-3</v>
      </c>
      <c r="J1491" s="1">
        <v>1</v>
      </c>
    </row>
    <row r="1492" spans="1:10" x14ac:dyDescent="0.2">
      <c r="A1492" t="str">
        <f>"25/08/2020"</f>
        <v>25/08/2020</v>
      </c>
      <c r="B1492">
        <v>1</v>
      </c>
      <c r="C1492">
        <v>135000</v>
      </c>
      <c r="D1492">
        <v>303500</v>
      </c>
      <c r="E1492">
        <v>135000</v>
      </c>
      <c r="F1492">
        <v>135000</v>
      </c>
      <c r="G1492" s="1">
        <v>1E-3</v>
      </c>
      <c r="H1492" s="1">
        <v>1E-3</v>
      </c>
      <c r="I1492" s="1">
        <v>1E-3</v>
      </c>
      <c r="J1492" s="1">
        <v>0.41339999999999999</v>
      </c>
    </row>
    <row r="1493" spans="1:10" x14ac:dyDescent="0.2">
      <c r="A1493" t="str">
        <f>"24/08/2020"</f>
        <v>24/08/2020</v>
      </c>
      <c r="B1493">
        <v>1</v>
      </c>
      <c r="C1493">
        <v>133000</v>
      </c>
      <c r="D1493">
        <v>317000</v>
      </c>
      <c r="E1493">
        <v>133000</v>
      </c>
      <c r="F1493">
        <v>133000</v>
      </c>
      <c r="G1493" s="1">
        <v>1E-3</v>
      </c>
      <c r="H1493" s="1">
        <v>1E-3</v>
      </c>
      <c r="I1493" s="1">
        <v>1E-3</v>
      </c>
      <c r="J1493" s="1">
        <v>0.39200000000000002</v>
      </c>
    </row>
    <row r="1494" spans="1:10" x14ac:dyDescent="0.2">
      <c r="A1494" t="str">
        <f>"23/08/2020"</f>
        <v>23/08/2020</v>
      </c>
      <c r="B1494">
        <v>1</v>
      </c>
      <c r="C1494">
        <v>133000</v>
      </c>
      <c r="D1494">
        <v>310320</v>
      </c>
      <c r="E1494">
        <v>133000</v>
      </c>
      <c r="F1494">
        <v>133000</v>
      </c>
      <c r="G1494" s="1">
        <v>1E-3</v>
      </c>
      <c r="H1494" s="1">
        <v>1E-3</v>
      </c>
      <c r="I1494" s="1">
        <v>1E-3</v>
      </c>
      <c r="J1494" s="1">
        <v>0.40749999999999997</v>
      </c>
    </row>
    <row r="1495" spans="1:10" x14ac:dyDescent="0.2">
      <c r="A1495" t="str">
        <f>"20/08/2020"</f>
        <v>20/08/2020</v>
      </c>
      <c r="B1495">
        <v>3</v>
      </c>
      <c r="C1495">
        <v>133000</v>
      </c>
      <c r="D1495">
        <v>285280</v>
      </c>
      <c r="E1495">
        <v>133000</v>
      </c>
      <c r="F1495">
        <v>133000</v>
      </c>
      <c r="G1495" s="1">
        <v>1E-3</v>
      </c>
      <c r="H1495" s="1">
        <v>1E-3</v>
      </c>
      <c r="I1495" s="1">
        <v>1E-3</v>
      </c>
      <c r="J1495" s="1">
        <v>0.44500000000000001</v>
      </c>
    </row>
    <row r="1496" spans="1:10" x14ac:dyDescent="0.2">
      <c r="A1496" t="str">
        <f>"19/08/2020"</f>
        <v>19/08/2020</v>
      </c>
      <c r="B1496">
        <v>1</v>
      </c>
      <c r="C1496">
        <v>132000</v>
      </c>
      <c r="D1496">
        <v>278640</v>
      </c>
      <c r="E1496">
        <v>132000</v>
      </c>
      <c r="F1496">
        <v>132000</v>
      </c>
      <c r="G1496" s="1">
        <v>1E-3</v>
      </c>
      <c r="H1496" s="1">
        <v>1E-3</v>
      </c>
      <c r="I1496" s="1">
        <v>1E-3</v>
      </c>
      <c r="J1496" s="1">
        <v>0.45490000000000003</v>
      </c>
    </row>
    <row r="1497" spans="1:10" x14ac:dyDescent="0.2">
      <c r="A1497" t="str">
        <f>"18/08/2020"</f>
        <v>18/08/2020</v>
      </c>
      <c r="B1497">
        <v>1</v>
      </c>
      <c r="C1497">
        <v>134000</v>
      </c>
      <c r="D1497">
        <v>291518</v>
      </c>
      <c r="E1497">
        <v>134000</v>
      </c>
      <c r="F1497">
        <v>134000</v>
      </c>
      <c r="G1497" s="1">
        <v>1E-3</v>
      </c>
      <c r="H1497" s="1">
        <v>1E-3</v>
      </c>
      <c r="I1497" s="1">
        <v>1E-3</v>
      </c>
      <c r="J1497" s="1">
        <v>0.441</v>
      </c>
    </row>
    <row r="1498" spans="1:10" x14ac:dyDescent="0.2">
      <c r="A1498" t="str">
        <f>"17/08/2020"</f>
        <v>17/08/2020</v>
      </c>
      <c r="B1498">
        <v>1</v>
      </c>
      <c r="C1498">
        <v>138000</v>
      </c>
      <c r="D1498">
        <v>304306</v>
      </c>
      <c r="E1498">
        <v>138000</v>
      </c>
      <c r="F1498">
        <v>138000</v>
      </c>
      <c r="G1498" s="1">
        <v>1E-3</v>
      </c>
      <c r="H1498" s="1">
        <v>1E-3</v>
      </c>
      <c r="I1498" s="1">
        <v>1E-3</v>
      </c>
      <c r="J1498" s="1">
        <v>0.43540000000000001</v>
      </c>
    </row>
    <row r="1499" spans="1:10" x14ac:dyDescent="0.2">
      <c r="A1499" t="str">
        <f>"16/08/2020"</f>
        <v>16/08/2020</v>
      </c>
      <c r="B1499">
        <v>1</v>
      </c>
      <c r="C1499">
        <v>143000</v>
      </c>
      <c r="D1499">
        <v>329545</v>
      </c>
      <c r="E1499">
        <v>143000</v>
      </c>
      <c r="F1499">
        <v>143000</v>
      </c>
      <c r="G1499" s="1">
        <v>1E-3</v>
      </c>
      <c r="H1499" s="1">
        <v>1E-3</v>
      </c>
      <c r="I1499" s="1">
        <v>1E-3</v>
      </c>
      <c r="J1499" s="1">
        <v>0.41499999999999998</v>
      </c>
    </row>
    <row r="1500" spans="1:10" x14ac:dyDescent="0.2">
      <c r="A1500" t="str">
        <f>"13/08/2020"</f>
        <v>13/08/2020</v>
      </c>
      <c r="B1500">
        <v>3</v>
      </c>
      <c r="C1500">
        <v>144000</v>
      </c>
      <c r="D1500">
        <v>352092</v>
      </c>
      <c r="E1500">
        <v>144000</v>
      </c>
      <c r="F1500">
        <v>144000</v>
      </c>
      <c r="G1500" s="1">
        <v>1E-3</v>
      </c>
      <c r="H1500" s="1">
        <v>1E-3</v>
      </c>
      <c r="I1500" s="1">
        <v>1E-3</v>
      </c>
      <c r="J1500" s="1">
        <v>0.39050000000000001</v>
      </c>
    </row>
    <row r="1501" spans="1:10" x14ac:dyDescent="0.2">
      <c r="A1501" t="str">
        <f>"12/08/2020"</f>
        <v>12/08/2020</v>
      </c>
      <c r="B1501">
        <v>1</v>
      </c>
      <c r="C1501">
        <v>150000</v>
      </c>
      <c r="D1501">
        <v>370171</v>
      </c>
      <c r="E1501">
        <v>150000</v>
      </c>
      <c r="F1501">
        <v>150000</v>
      </c>
      <c r="G1501" s="1">
        <v>1E-3</v>
      </c>
      <c r="H1501" s="1">
        <v>1E-3</v>
      </c>
      <c r="I1501" s="1">
        <v>1E-3</v>
      </c>
      <c r="J1501" s="1">
        <v>0.3841</v>
      </c>
    </row>
    <row r="1502" spans="1:10" x14ac:dyDescent="0.2">
      <c r="A1502" t="str">
        <f>"11/08/2020"</f>
        <v>11/08/2020</v>
      </c>
      <c r="B1502">
        <v>1</v>
      </c>
      <c r="C1502">
        <v>148000</v>
      </c>
      <c r="D1502">
        <v>380584</v>
      </c>
      <c r="E1502">
        <v>148000</v>
      </c>
      <c r="F1502">
        <v>148000</v>
      </c>
      <c r="G1502" s="1">
        <v>1E-3</v>
      </c>
      <c r="H1502" s="1">
        <v>1E-3</v>
      </c>
      <c r="I1502" s="1">
        <v>1E-3</v>
      </c>
      <c r="J1502" s="1">
        <v>0.36759999999999998</v>
      </c>
    </row>
    <row r="1503" spans="1:10" x14ac:dyDescent="0.2">
      <c r="A1503" t="str">
        <f>"10/08/2020"</f>
        <v>10/08/2020</v>
      </c>
      <c r="B1503">
        <v>1</v>
      </c>
      <c r="C1503">
        <v>151000</v>
      </c>
      <c r="D1503">
        <v>390706</v>
      </c>
      <c r="E1503">
        <v>151000</v>
      </c>
      <c r="F1503">
        <v>151000</v>
      </c>
      <c r="G1503" s="1">
        <v>1E-3</v>
      </c>
      <c r="H1503" s="1">
        <v>1E-3</v>
      </c>
      <c r="I1503" s="1">
        <v>1E-3</v>
      </c>
      <c r="J1503" s="1">
        <v>0.36280000000000001</v>
      </c>
    </row>
    <row r="1504" spans="1:10" x14ac:dyDescent="0.2">
      <c r="A1504" t="str">
        <f>"09/08/2020"</f>
        <v>09/08/2020</v>
      </c>
      <c r="B1504">
        <v>1</v>
      </c>
      <c r="C1504">
        <v>148000</v>
      </c>
      <c r="D1504">
        <v>403200</v>
      </c>
      <c r="E1504">
        <v>148000</v>
      </c>
      <c r="F1504">
        <v>148000</v>
      </c>
      <c r="G1504" s="1">
        <v>1E-3</v>
      </c>
      <c r="H1504" s="1">
        <v>1E-3</v>
      </c>
      <c r="I1504" s="1">
        <v>1E-3</v>
      </c>
      <c r="J1504" s="1">
        <v>0.34510000000000002</v>
      </c>
    </row>
    <row r="1505" spans="1:10" x14ac:dyDescent="0.2">
      <c r="A1505" t="str">
        <f>"06/08/2020"</f>
        <v>06/08/2020</v>
      </c>
      <c r="B1505">
        <v>3</v>
      </c>
      <c r="C1505">
        <v>147000</v>
      </c>
      <c r="D1505">
        <v>390469</v>
      </c>
      <c r="E1505">
        <v>147000</v>
      </c>
      <c r="F1505">
        <v>147000</v>
      </c>
      <c r="G1505" s="1">
        <v>1E-3</v>
      </c>
      <c r="H1505" s="1">
        <v>1E-3</v>
      </c>
      <c r="I1505" s="1">
        <v>1E-3</v>
      </c>
      <c r="J1505" s="1">
        <v>0.35120000000000001</v>
      </c>
    </row>
    <row r="1506" spans="1:10" x14ac:dyDescent="0.2">
      <c r="A1506" t="str">
        <f>"05/08/2020"</f>
        <v>05/08/2020</v>
      </c>
      <c r="B1506">
        <v>1</v>
      </c>
      <c r="C1506">
        <v>145000</v>
      </c>
      <c r="D1506">
        <v>397671</v>
      </c>
      <c r="E1506">
        <v>145000</v>
      </c>
      <c r="F1506">
        <v>145000</v>
      </c>
      <c r="G1506" s="1">
        <v>1E-3</v>
      </c>
      <c r="H1506" s="1">
        <v>1E-3</v>
      </c>
      <c r="I1506" s="1">
        <v>1E-3</v>
      </c>
      <c r="J1506" s="1">
        <v>0.34200000000000003</v>
      </c>
    </row>
    <row r="1507" spans="1:10" x14ac:dyDescent="0.2">
      <c r="A1507" t="str">
        <f>"04/08/2020"</f>
        <v>04/08/2020</v>
      </c>
      <c r="B1507">
        <v>1</v>
      </c>
      <c r="C1507">
        <v>144000</v>
      </c>
      <c r="D1507">
        <v>384000</v>
      </c>
      <c r="E1507">
        <v>144000</v>
      </c>
      <c r="F1507">
        <v>144000</v>
      </c>
      <c r="G1507" s="1">
        <v>1E-3</v>
      </c>
      <c r="H1507" s="1">
        <v>1E-3</v>
      </c>
      <c r="I1507" s="1">
        <v>1E-3</v>
      </c>
      <c r="J1507" s="1">
        <v>0.35099999999999998</v>
      </c>
    </row>
    <row r="1508" spans="1:10" x14ac:dyDescent="0.2">
      <c r="A1508" t="str">
        <f>"03/08/2020"</f>
        <v>03/08/2020</v>
      </c>
      <c r="B1508">
        <v>1</v>
      </c>
      <c r="C1508">
        <v>146000</v>
      </c>
      <c r="D1508">
        <v>375484</v>
      </c>
      <c r="E1508">
        <v>146000</v>
      </c>
      <c r="F1508">
        <v>146000</v>
      </c>
      <c r="G1508" s="1">
        <v>1E-3</v>
      </c>
      <c r="H1508" s="1">
        <v>1E-3</v>
      </c>
      <c r="I1508" s="1">
        <v>1E-3</v>
      </c>
      <c r="J1508" s="1">
        <v>0.3634</v>
      </c>
    </row>
    <row r="1509" spans="1:10" x14ac:dyDescent="0.2">
      <c r="A1509" t="str">
        <f>"02/08/2020"</f>
        <v>02/08/2020</v>
      </c>
      <c r="B1509">
        <v>1</v>
      </c>
      <c r="C1509">
        <v>146000</v>
      </c>
      <c r="D1509">
        <v>363562</v>
      </c>
      <c r="E1509">
        <v>146000</v>
      </c>
      <c r="F1509">
        <v>146000</v>
      </c>
      <c r="G1509" s="1">
        <v>1E-3</v>
      </c>
      <c r="H1509" s="1">
        <v>1E-3</v>
      </c>
      <c r="I1509" s="1">
        <v>1E-3</v>
      </c>
      <c r="J1509" s="1">
        <v>0.37609999999999999</v>
      </c>
    </row>
    <row r="1510" spans="1:10" x14ac:dyDescent="0.2">
      <c r="A1510" t="str">
        <f>"29/07/2020"</f>
        <v>29/07/2020</v>
      </c>
      <c r="B1510">
        <v>4</v>
      </c>
      <c r="C1510">
        <v>136000</v>
      </c>
      <c r="D1510">
        <v>310330</v>
      </c>
      <c r="E1510">
        <v>136000</v>
      </c>
      <c r="F1510">
        <v>136000</v>
      </c>
      <c r="G1510" s="1">
        <v>1E-3</v>
      </c>
      <c r="H1510" s="1">
        <v>1E-3</v>
      </c>
      <c r="I1510" s="1">
        <v>1E-3</v>
      </c>
      <c r="J1510" s="1">
        <v>0.40939999999999999</v>
      </c>
    </row>
    <row r="1511" spans="1:10" x14ac:dyDescent="0.2">
      <c r="A1511" t="str">
        <f>"28/07/2020"</f>
        <v>28/07/2020</v>
      </c>
      <c r="B1511">
        <v>1</v>
      </c>
      <c r="C1511">
        <v>134000</v>
      </c>
      <c r="D1511">
        <v>310490</v>
      </c>
      <c r="E1511">
        <v>134000</v>
      </c>
      <c r="F1511">
        <v>134000</v>
      </c>
      <c r="G1511" s="1">
        <v>1E-3</v>
      </c>
      <c r="H1511" s="1">
        <v>1E-3</v>
      </c>
      <c r="I1511" s="1">
        <v>1E-3</v>
      </c>
      <c r="J1511" s="1">
        <v>0.40799999999999997</v>
      </c>
    </row>
    <row r="1512" spans="1:10" x14ac:dyDescent="0.2">
      <c r="A1512" t="str">
        <f>"27/07/2020"</f>
        <v>27/07/2020</v>
      </c>
      <c r="B1512">
        <v>1</v>
      </c>
      <c r="C1512">
        <v>135000</v>
      </c>
      <c r="D1512">
        <v>310798</v>
      </c>
      <c r="E1512">
        <v>135000</v>
      </c>
      <c r="F1512">
        <v>135000</v>
      </c>
      <c r="G1512" s="1">
        <v>1E-3</v>
      </c>
      <c r="H1512" s="1">
        <v>1E-3</v>
      </c>
      <c r="I1512" s="1">
        <v>1E-3</v>
      </c>
      <c r="J1512" s="1">
        <v>0.4083</v>
      </c>
    </row>
    <row r="1513" spans="1:10" x14ac:dyDescent="0.2">
      <c r="A1513" t="str">
        <f>"26/07/2020"</f>
        <v>26/07/2020</v>
      </c>
      <c r="B1513">
        <v>1</v>
      </c>
      <c r="C1513">
        <v>131000</v>
      </c>
      <c r="D1513">
        <v>302000</v>
      </c>
      <c r="E1513">
        <v>131000</v>
      </c>
      <c r="F1513">
        <v>131000</v>
      </c>
      <c r="G1513" s="1">
        <v>1E-3</v>
      </c>
      <c r="H1513" s="1">
        <v>1E-3</v>
      </c>
      <c r="I1513" s="1">
        <v>1E-3</v>
      </c>
      <c r="J1513" s="1">
        <v>0.40889999999999999</v>
      </c>
    </row>
    <row r="1514" spans="1:10" x14ac:dyDescent="0.2">
      <c r="A1514" t="str">
        <f>"23/07/2020"</f>
        <v>23/07/2020</v>
      </c>
      <c r="B1514">
        <v>3</v>
      </c>
      <c r="C1514">
        <v>131000</v>
      </c>
      <c r="D1514">
        <v>314085</v>
      </c>
      <c r="E1514">
        <v>131000</v>
      </c>
      <c r="F1514">
        <v>131000</v>
      </c>
      <c r="G1514" s="1">
        <v>1E-3</v>
      </c>
      <c r="H1514" s="1">
        <v>1E-3</v>
      </c>
      <c r="I1514" s="1">
        <v>1E-3</v>
      </c>
      <c r="J1514" s="1">
        <v>0.39150000000000001</v>
      </c>
    </row>
    <row r="1515" spans="1:10" x14ac:dyDescent="0.2">
      <c r="A1515" t="str">
        <f>"22/07/2020"</f>
        <v>22/07/2020</v>
      </c>
      <c r="B1515">
        <v>1</v>
      </c>
      <c r="C1515">
        <v>131000</v>
      </c>
      <c r="D1515">
        <v>309720</v>
      </c>
      <c r="E1515">
        <v>131000</v>
      </c>
      <c r="F1515">
        <v>131000</v>
      </c>
      <c r="G1515" s="1">
        <v>1E-3</v>
      </c>
      <c r="H1515" s="1">
        <v>1E-3</v>
      </c>
      <c r="I1515" s="1">
        <v>1E-3</v>
      </c>
      <c r="J1515" s="1">
        <v>0.39739999999999998</v>
      </c>
    </row>
    <row r="1516" spans="1:10" x14ac:dyDescent="0.2">
      <c r="A1516" t="str">
        <f>"21/07/2020"</f>
        <v>21/07/2020</v>
      </c>
      <c r="B1516">
        <v>1</v>
      </c>
      <c r="C1516">
        <v>128000</v>
      </c>
      <c r="D1516">
        <v>307480</v>
      </c>
      <c r="E1516">
        <v>128000</v>
      </c>
      <c r="F1516">
        <v>128000</v>
      </c>
      <c r="G1516" s="1">
        <v>1E-3</v>
      </c>
      <c r="H1516" s="1">
        <v>1E-3</v>
      </c>
      <c r="I1516" s="1">
        <v>1E-3</v>
      </c>
      <c r="J1516" s="1">
        <v>0.39219999999999999</v>
      </c>
    </row>
    <row r="1517" spans="1:10" x14ac:dyDescent="0.2">
      <c r="A1517" t="str">
        <f>"20/07/2020"</f>
        <v>20/07/2020</v>
      </c>
      <c r="B1517">
        <v>1</v>
      </c>
      <c r="C1517">
        <v>131000</v>
      </c>
      <c r="D1517">
        <v>327676</v>
      </c>
      <c r="E1517">
        <v>131000</v>
      </c>
      <c r="F1517">
        <v>131000</v>
      </c>
      <c r="G1517" s="1">
        <v>1E-3</v>
      </c>
      <c r="H1517" s="1">
        <v>1E-3</v>
      </c>
      <c r="I1517" s="1">
        <v>1E-3</v>
      </c>
      <c r="J1517" s="1">
        <v>0.37019999999999997</v>
      </c>
    </row>
    <row r="1518" spans="1:10" x14ac:dyDescent="0.2">
      <c r="A1518" t="str">
        <f>"19/07/2020"</f>
        <v>19/07/2020</v>
      </c>
      <c r="B1518">
        <v>1</v>
      </c>
      <c r="C1518">
        <v>132000</v>
      </c>
      <c r="D1518">
        <v>347850</v>
      </c>
      <c r="E1518">
        <v>132000</v>
      </c>
      <c r="F1518">
        <v>132000</v>
      </c>
      <c r="G1518" s="1">
        <v>1E-3</v>
      </c>
      <c r="H1518" s="1">
        <v>1E-3</v>
      </c>
      <c r="I1518" s="1">
        <v>1E-3</v>
      </c>
      <c r="J1518" s="1">
        <v>0.3498</v>
      </c>
    </row>
    <row r="1519" spans="1:10" x14ac:dyDescent="0.2">
      <c r="A1519" t="str">
        <f>"16/07/2020"</f>
        <v>16/07/2020</v>
      </c>
      <c r="B1519">
        <v>3</v>
      </c>
      <c r="C1519">
        <v>133000</v>
      </c>
      <c r="D1519">
        <v>355622</v>
      </c>
      <c r="E1519">
        <v>133000</v>
      </c>
      <c r="F1519">
        <v>133000</v>
      </c>
      <c r="G1519" s="1">
        <v>1E-3</v>
      </c>
      <c r="H1519" s="1">
        <v>1E-3</v>
      </c>
      <c r="I1519" s="1">
        <v>1E-3</v>
      </c>
      <c r="J1519" s="1">
        <v>0.34810000000000002</v>
      </c>
    </row>
    <row r="1520" spans="1:10" x14ac:dyDescent="0.2">
      <c r="A1520" t="str">
        <f>"15/07/2020"</f>
        <v>15/07/2020</v>
      </c>
      <c r="B1520">
        <v>1</v>
      </c>
      <c r="C1520">
        <v>143000</v>
      </c>
      <c r="D1520">
        <v>384570</v>
      </c>
      <c r="E1520">
        <v>143000</v>
      </c>
      <c r="F1520">
        <v>143000</v>
      </c>
      <c r="G1520" s="1">
        <v>1E-3</v>
      </c>
      <c r="H1520" s="1">
        <v>1E-3</v>
      </c>
      <c r="I1520" s="1">
        <v>1E-3</v>
      </c>
      <c r="J1520" s="1">
        <v>0.34839999999999999</v>
      </c>
    </row>
    <row r="1521" spans="1:10" x14ac:dyDescent="0.2">
      <c r="A1521" t="str">
        <f>"14/07/2020"</f>
        <v>14/07/2020</v>
      </c>
      <c r="B1521">
        <v>1</v>
      </c>
      <c r="C1521">
        <v>141000</v>
      </c>
      <c r="D1521">
        <v>382310</v>
      </c>
      <c r="E1521">
        <v>141000</v>
      </c>
      <c r="F1521">
        <v>141000</v>
      </c>
      <c r="G1521" s="1">
        <v>1E-3</v>
      </c>
      <c r="H1521" s="1">
        <v>1E-3</v>
      </c>
      <c r="I1521" s="1">
        <v>1E-3</v>
      </c>
      <c r="J1521" s="1">
        <v>0.34379999999999999</v>
      </c>
    </row>
    <row r="1522" spans="1:10" x14ac:dyDescent="0.2">
      <c r="A1522" t="str">
        <f>"13/07/2020"</f>
        <v>13/07/2020</v>
      </c>
      <c r="B1522">
        <v>1</v>
      </c>
      <c r="C1522">
        <v>143000</v>
      </c>
      <c r="D1522">
        <v>382449</v>
      </c>
      <c r="E1522">
        <v>143000</v>
      </c>
      <c r="F1522">
        <v>143000</v>
      </c>
      <c r="G1522" s="1">
        <v>1E-3</v>
      </c>
      <c r="H1522" s="1">
        <v>1E-3</v>
      </c>
      <c r="I1522" s="1">
        <v>1E-3</v>
      </c>
      <c r="J1522" s="1">
        <v>0.34899999999999998</v>
      </c>
    </row>
    <row r="1523" spans="1:10" x14ac:dyDescent="0.2">
      <c r="A1523" t="str">
        <f>"12/07/2020"</f>
        <v>12/07/2020</v>
      </c>
      <c r="B1523">
        <v>1</v>
      </c>
      <c r="C1523">
        <v>143000</v>
      </c>
      <c r="D1523">
        <v>329910</v>
      </c>
      <c r="E1523">
        <v>143000</v>
      </c>
      <c r="F1523">
        <v>143000</v>
      </c>
      <c r="G1523" s="1">
        <v>1E-3</v>
      </c>
      <c r="H1523" s="1">
        <v>1E-3</v>
      </c>
      <c r="I1523" s="1">
        <v>1E-3</v>
      </c>
      <c r="J1523" s="1">
        <v>0.40500000000000003</v>
      </c>
    </row>
    <row r="1524" spans="1:10" x14ac:dyDescent="0.2">
      <c r="A1524" t="str">
        <f>"09/07/2020"</f>
        <v>09/07/2020</v>
      </c>
      <c r="B1524">
        <v>3</v>
      </c>
      <c r="C1524">
        <v>139000</v>
      </c>
      <c r="D1524">
        <v>240844</v>
      </c>
      <c r="E1524">
        <v>139000</v>
      </c>
      <c r="F1524">
        <v>139000</v>
      </c>
      <c r="G1524" s="1">
        <v>1E-3</v>
      </c>
      <c r="H1524" s="1">
        <v>1E-3</v>
      </c>
      <c r="I1524" s="1">
        <v>1E-3</v>
      </c>
      <c r="J1524" s="1">
        <v>0.54469999999999996</v>
      </c>
    </row>
    <row r="1525" spans="1:10" x14ac:dyDescent="0.2">
      <c r="A1525" t="str">
        <f>"08/07/2020"</f>
        <v>08/07/2020</v>
      </c>
      <c r="B1525">
        <v>1</v>
      </c>
      <c r="C1525">
        <v>130000</v>
      </c>
      <c r="D1525">
        <v>126805</v>
      </c>
      <c r="E1525">
        <v>126805</v>
      </c>
      <c r="F1525">
        <v>126805</v>
      </c>
      <c r="G1525" s="1">
        <v>1E-3</v>
      </c>
      <c r="H1525" s="1">
        <v>1E-3</v>
      </c>
      <c r="I1525" s="1">
        <v>1E-3</v>
      </c>
      <c r="J1525" s="1">
        <v>1</v>
      </c>
    </row>
    <row r="1526" spans="1:10" x14ac:dyDescent="0.2">
      <c r="A1526" t="str">
        <f>"07/07/2020"</f>
        <v>07/07/2020</v>
      </c>
      <c r="B1526">
        <v>1</v>
      </c>
      <c r="C1526">
        <v>131000</v>
      </c>
      <c r="D1526">
        <v>339770</v>
      </c>
      <c r="E1526">
        <v>131000</v>
      </c>
      <c r="F1526">
        <v>131000</v>
      </c>
      <c r="G1526" s="1">
        <v>1E-3</v>
      </c>
      <c r="H1526" s="1">
        <v>1E-3</v>
      </c>
      <c r="I1526" s="1">
        <v>1E-3</v>
      </c>
      <c r="J1526" s="1">
        <v>0.35599999999999998</v>
      </c>
    </row>
    <row r="1527" spans="1:10" x14ac:dyDescent="0.2">
      <c r="A1527" t="str">
        <f>"06/07/2020"</f>
        <v>06/07/2020</v>
      </c>
      <c r="B1527">
        <v>1</v>
      </c>
      <c r="C1527">
        <v>132000</v>
      </c>
      <c r="D1527">
        <v>355283</v>
      </c>
      <c r="E1527">
        <v>132000</v>
      </c>
      <c r="F1527">
        <v>132000</v>
      </c>
      <c r="G1527" s="1">
        <v>1E-3</v>
      </c>
      <c r="H1527" s="1">
        <v>1E-3</v>
      </c>
      <c r="I1527" s="1">
        <v>1E-3</v>
      </c>
      <c r="J1527" s="1">
        <v>0.33960000000000001</v>
      </c>
    </row>
    <row r="1528" spans="1:10" x14ac:dyDescent="0.2">
      <c r="A1528" t="str">
        <f>"05/07/2020"</f>
        <v>05/07/2020</v>
      </c>
      <c r="B1528">
        <v>1</v>
      </c>
      <c r="C1528">
        <v>132000</v>
      </c>
      <c r="D1528">
        <v>355045</v>
      </c>
      <c r="E1528">
        <v>132000</v>
      </c>
      <c r="F1528">
        <v>132000</v>
      </c>
      <c r="G1528" s="1">
        <v>1E-3</v>
      </c>
      <c r="H1528" s="1">
        <v>1E-3</v>
      </c>
      <c r="I1528" s="1">
        <v>1E-3</v>
      </c>
      <c r="J1528" s="1">
        <v>0.34039999999999998</v>
      </c>
    </row>
    <row r="1529" spans="1:10" x14ac:dyDescent="0.2">
      <c r="A1529" t="str">
        <f>"02/07/2020"</f>
        <v>02/07/2020</v>
      </c>
      <c r="B1529">
        <v>3</v>
      </c>
      <c r="C1529">
        <v>134000</v>
      </c>
      <c r="D1529">
        <v>349841</v>
      </c>
      <c r="E1529">
        <v>134000</v>
      </c>
      <c r="F1529">
        <v>134000</v>
      </c>
      <c r="G1529" s="1">
        <v>1E-3</v>
      </c>
      <c r="H1529" s="1">
        <v>1E-3</v>
      </c>
      <c r="I1529" s="1">
        <v>1E-3</v>
      </c>
      <c r="J1529" s="1">
        <v>0.35089999999999999</v>
      </c>
    </row>
    <row r="1530" spans="1:10" x14ac:dyDescent="0.2">
      <c r="A1530" t="str">
        <f>"01/07/2020"</f>
        <v>01/07/2020</v>
      </c>
      <c r="B1530">
        <v>1</v>
      </c>
      <c r="C1530">
        <v>131000</v>
      </c>
      <c r="D1530">
        <v>360965</v>
      </c>
      <c r="E1530">
        <v>131000</v>
      </c>
      <c r="F1530">
        <v>131000</v>
      </c>
      <c r="G1530" s="1">
        <v>1E-3</v>
      </c>
      <c r="H1530" s="1">
        <v>1E-3</v>
      </c>
      <c r="I1530" s="1">
        <v>1E-3</v>
      </c>
      <c r="J1530" s="1">
        <v>0.3246</v>
      </c>
    </row>
    <row r="1531" spans="1:10" x14ac:dyDescent="0.2">
      <c r="A1531" t="str">
        <f>"30/06/2020"</f>
        <v>30/06/2020</v>
      </c>
      <c r="B1531">
        <v>1</v>
      </c>
      <c r="C1531">
        <v>122000</v>
      </c>
      <c r="D1531">
        <v>316549</v>
      </c>
      <c r="E1531">
        <v>122000</v>
      </c>
      <c r="F1531">
        <v>122000</v>
      </c>
      <c r="G1531" s="1">
        <v>1E-3</v>
      </c>
      <c r="H1531" s="1">
        <v>1E-3</v>
      </c>
      <c r="I1531" s="1">
        <v>1E-3</v>
      </c>
      <c r="J1531" s="1">
        <v>0.3528</v>
      </c>
    </row>
    <row r="1532" spans="1:10" x14ac:dyDescent="0.2">
      <c r="A1532" t="str">
        <f>"29/06/2020"</f>
        <v>29/06/2020</v>
      </c>
      <c r="B1532">
        <v>1</v>
      </c>
      <c r="C1532">
        <v>121000</v>
      </c>
      <c r="D1532">
        <v>315148</v>
      </c>
      <c r="E1532">
        <v>121000</v>
      </c>
      <c r="F1532">
        <v>121000</v>
      </c>
      <c r="G1532" s="1">
        <v>1E-3</v>
      </c>
      <c r="H1532" s="1">
        <v>1E-3</v>
      </c>
      <c r="I1532" s="1">
        <v>1E-3</v>
      </c>
      <c r="J1532" s="1">
        <v>0.35499999999999998</v>
      </c>
    </row>
    <row r="1533" spans="1:10" x14ac:dyDescent="0.2">
      <c r="A1533" t="str">
        <f>"28/06/2020"</f>
        <v>28/06/2020</v>
      </c>
      <c r="B1533">
        <v>1</v>
      </c>
      <c r="C1533">
        <v>120000</v>
      </c>
      <c r="D1533">
        <v>310118</v>
      </c>
      <c r="E1533">
        <v>120000</v>
      </c>
      <c r="F1533">
        <v>120000</v>
      </c>
      <c r="G1533" s="1">
        <v>1E-3</v>
      </c>
      <c r="H1533" s="1">
        <v>1E-3</v>
      </c>
      <c r="I1533" s="1">
        <v>1E-3</v>
      </c>
      <c r="J1533" s="1">
        <v>0.35439999999999999</v>
      </c>
    </row>
    <row r="1534" spans="1:10" x14ac:dyDescent="0.2">
      <c r="A1534" t="str">
        <f>"25/06/2020"</f>
        <v>25/06/2020</v>
      </c>
      <c r="B1534">
        <v>3</v>
      </c>
      <c r="C1534">
        <v>117000</v>
      </c>
      <c r="D1534">
        <v>295653</v>
      </c>
      <c r="E1534">
        <v>117000</v>
      </c>
      <c r="F1534">
        <v>117000</v>
      </c>
      <c r="G1534" s="1">
        <v>1E-3</v>
      </c>
      <c r="H1534" s="1">
        <v>1E-3</v>
      </c>
      <c r="I1534" s="1">
        <v>1E-3</v>
      </c>
      <c r="J1534" s="1">
        <v>0.36020000000000002</v>
      </c>
    </row>
    <row r="1535" spans="1:10" x14ac:dyDescent="0.2">
      <c r="A1535" t="str">
        <f>"24/06/2020"</f>
        <v>24/06/2020</v>
      </c>
      <c r="B1535">
        <v>1</v>
      </c>
      <c r="C1535">
        <v>117000</v>
      </c>
      <c r="D1535">
        <v>300199</v>
      </c>
      <c r="E1535">
        <v>117000</v>
      </c>
      <c r="F1535">
        <v>117000</v>
      </c>
      <c r="G1535" s="1">
        <v>1E-3</v>
      </c>
      <c r="H1535" s="1">
        <v>1E-3</v>
      </c>
      <c r="I1535" s="1">
        <v>1E-3</v>
      </c>
      <c r="J1535" s="1">
        <v>0.35670000000000002</v>
      </c>
    </row>
    <row r="1536" spans="1:10" x14ac:dyDescent="0.2">
      <c r="A1536" t="str">
        <f>"23/06/2020"</f>
        <v>23/06/2020</v>
      </c>
      <c r="B1536">
        <v>1</v>
      </c>
      <c r="C1536">
        <v>117000</v>
      </c>
      <c r="D1536">
        <v>298140</v>
      </c>
      <c r="E1536">
        <v>117000</v>
      </c>
      <c r="F1536">
        <v>117000</v>
      </c>
      <c r="G1536" s="1">
        <v>1E-3</v>
      </c>
      <c r="H1536" s="1">
        <v>1E-3</v>
      </c>
      <c r="I1536" s="1">
        <v>1E-3</v>
      </c>
      <c r="J1536" s="1">
        <v>0.35620000000000002</v>
      </c>
    </row>
    <row r="1537" spans="1:10" x14ac:dyDescent="0.2">
      <c r="A1537" t="str">
        <f>"22/06/2020"</f>
        <v>22/06/2020</v>
      </c>
      <c r="B1537">
        <v>1</v>
      </c>
      <c r="C1537">
        <v>120000</v>
      </c>
      <c r="D1537">
        <v>300947</v>
      </c>
      <c r="E1537">
        <v>120000</v>
      </c>
      <c r="F1537">
        <v>120000</v>
      </c>
      <c r="G1537" s="1">
        <v>1E-3</v>
      </c>
      <c r="H1537" s="1">
        <v>1E-3</v>
      </c>
      <c r="I1537" s="1">
        <v>1E-3</v>
      </c>
      <c r="J1537" s="1">
        <v>0.36620000000000003</v>
      </c>
    </row>
    <row r="1538" spans="1:10" x14ac:dyDescent="0.2">
      <c r="A1538" t="str">
        <f>"21/06/2020"</f>
        <v>21/06/2020</v>
      </c>
      <c r="B1538">
        <v>1</v>
      </c>
      <c r="C1538">
        <v>121000</v>
      </c>
      <c r="D1538">
        <v>308366</v>
      </c>
      <c r="E1538">
        <v>121000</v>
      </c>
      <c r="F1538">
        <v>121000</v>
      </c>
      <c r="G1538" s="1">
        <v>1E-3</v>
      </c>
      <c r="H1538" s="1">
        <v>1E-3</v>
      </c>
      <c r="I1538" s="1">
        <v>1E-3</v>
      </c>
      <c r="J1538" s="1">
        <v>0.3589</v>
      </c>
    </row>
    <row r="1539" spans="1:10" x14ac:dyDescent="0.2">
      <c r="A1539" t="str">
        <f>"18/06/2020"</f>
        <v>18/06/2020</v>
      </c>
      <c r="B1539">
        <v>3</v>
      </c>
      <c r="C1539">
        <v>122000</v>
      </c>
      <c r="D1539">
        <v>300824</v>
      </c>
      <c r="E1539">
        <v>122000</v>
      </c>
      <c r="F1539">
        <v>122000</v>
      </c>
      <c r="G1539" s="1">
        <v>1E-3</v>
      </c>
      <c r="H1539" s="1">
        <v>1E-3</v>
      </c>
      <c r="I1539" s="1">
        <v>1E-3</v>
      </c>
      <c r="J1539" s="1">
        <v>0.37080000000000002</v>
      </c>
    </row>
    <row r="1540" spans="1:10" x14ac:dyDescent="0.2">
      <c r="A1540" t="str">
        <f>"17/06/2020"</f>
        <v>17/06/2020</v>
      </c>
      <c r="B1540">
        <v>1</v>
      </c>
      <c r="C1540">
        <v>124000</v>
      </c>
      <c r="D1540">
        <v>313738</v>
      </c>
      <c r="E1540">
        <v>124000</v>
      </c>
      <c r="F1540">
        <v>124000</v>
      </c>
      <c r="G1540" s="1">
        <v>1E-3</v>
      </c>
      <c r="H1540" s="1">
        <v>1E-3</v>
      </c>
      <c r="I1540" s="1">
        <v>1E-3</v>
      </c>
      <c r="J1540" s="1">
        <v>0.3604</v>
      </c>
    </row>
    <row r="1541" spans="1:10" x14ac:dyDescent="0.2">
      <c r="A1541" t="str">
        <f>"16/06/2020"</f>
        <v>16/06/2020</v>
      </c>
      <c r="B1541">
        <v>1</v>
      </c>
      <c r="C1541">
        <v>125000</v>
      </c>
      <c r="D1541">
        <v>319920</v>
      </c>
      <c r="E1541">
        <v>125000</v>
      </c>
      <c r="F1541">
        <v>125000</v>
      </c>
      <c r="G1541" s="1">
        <v>1E-3</v>
      </c>
      <c r="H1541" s="1">
        <v>1E-3</v>
      </c>
      <c r="I1541" s="1">
        <v>1E-3</v>
      </c>
      <c r="J1541" s="1">
        <v>0.35909999999999997</v>
      </c>
    </row>
    <row r="1542" spans="1:10" x14ac:dyDescent="0.2">
      <c r="A1542" t="str">
        <f>"15/06/2020"</f>
        <v>15/06/2020</v>
      </c>
      <c r="B1542">
        <v>1</v>
      </c>
      <c r="C1542">
        <v>133000</v>
      </c>
      <c r="D1542">
        <v>339564</v>
      </c>
      <c r="E1542">
        <v>133000</v>
      </c>
      <c r="F1542">
        <v>133000</v>
      </c>
      <c r="G1542" s="1">
        <v>1E-3</v>
      </c>
      <c r="H1542" s="1">
        <v>1E-3</v>
      </c>
      <c r="I1542" s="1">
        <v>1E-3</v>
      </c>
      <c r="J1542" s="1">
        <v>0.36059999999999998</v>
      </c>
    </row>
    <row r="1543" spans="1:10" x14ac:dyDescent="0.2">
      <c r="A1543" t="str">
        <f>"14/06/2020"</f>
        <v>14/06/2020</v>
      </c>
      <c r="B1543">
        <v>1</v>
      </c>
      <c r="C1543">
        <v>132000</v>
      </c>
      <c r="D1543">
        <v>337106</v>
      </c>
      <c r="E1543">
        <v>132000</v>
      </c>
      <c r="F1543">
        <v>132000</v>
      </c>
      <c r="G1543" s="1">
        <v>1E-3</v>
      </c>
      <c r="H1543" s="1">
        <v>1E-3</v>
      </c>
      <c r="I1543" s="1">
        <v>1E-3</v>
      </c>
      <c r="J1543" s="1">
        <v>0.3609</v>
      </c>
    </row>
    <row r="1544" spans="1:10" x14ac:dyDescent="0.2">
      <c r="A1544" t="str">
        <f>"11/06/2020"</f>
        <v>11/06/2020</v>
      </c>
      <c r="B1544">
        <v>3</v>
      </c>
      <c r="C1544">
        <v>131000</v>
      </c>
      <c r="D1544">
        <v>328023</v>
      </c>
      <c r="E1544">
        <v>131000</v>
      </c>
      <c r="F1544">
        <v>131000</v>
      </c>
      <c r="G1544" s="1">
        <v>1E-3</v>
      </c>
      <c r="H1544" s="1">
        <v>1E-3</v>
      </c>
      <c r="I1544" s="1">
        <v>1E-3</v>
      </c>
      <c r="J1544" s="1">
        <v>0.373</v>
      </c>
    </row>
    <row r="1545" spans="1:10" x14ac:dyDescent="0.2">
      <c r="A1545" t="str">
        <f>"10/06/2020"</f>
        <v>10/06/2020</v>
      </c>
      <c r="B1545">
        <v>1</v>
      </c>
      <c r="C1545">
        <v>135000</v>
      </c>
      <c r="D1545">
        <v>343391</v>
      </c>
      <c r="E1545">
        <v>135000</v>
      </c>
      <c r="F1545">
        <v>135000</v>
      </c>
      <c r="G1545" s="1">
        <v>1E-3</v>
      </c>
      <c r="H1545" s="1">
        <v>1E-3</v>
      </c>
      <c r="I1545" s="1">
        <v>1E-3</v>
      </c>
      <c r="J1545" s="1">
        <v>0.36409999999999998</v>
      </c>
    </row>
    <row r="1546" spans="1:10" x14ac:dyDescent="0.2">
      <c r="A1546" t="str">
        <f>"09/06/2020"</f>
        <v>09/06/2020</v>
      </c>
      <c r="B1546">
        <v>1</v>
      </c>
      <c r="C1546">
        <v>130000</v>
      </c>
      <c r="D1546">
        <v>326441</v>
      </c>
      <c r="E1546">
        <v>130000</v>
      </c>
      <c r="F1546">
        <v>130000</v>
      </c>
      <c r="G1546" s="1">
        <v>1E-3</v>
      </c>
      <c r="H1546" s="1">
        <v>1E-3</v>
      </c>
      <c r="I1546" s="1">
        <v>1E-3</v>
      </c>
      <c r="J1546" s="1">
        <v>0.36630000000000001</v>
      </c>
    </row>
    <row r="1547" spans="1:10" x14ac:dyDescent="0.2">
      <c r="A1547" t="str">
        <f>"08/06/2020"</f>
        <v>08/06/2020</v>
      </c>
      <c r="B1547">
        <v>1</v>
      </c>
      <c r="C1547">
        <v>130000</v>
      </c>
      <c r="D1547">
        <v>327425</v>
      </c>
      <c r="E1547">
        <v>130000</v>
      </c>
      <c r="F1547">
        <v>130000</v>
      </c>
      <c r="G1547" s="1">
        <v>1E-3</v>
      </c>
      <c r="H1547" s="1">
        <v>1E-3</v>
      </c>
      <c r="I1547" s="1">
        <v>1E-3</v>
      </c>
      <c r="J1547" s="1">
        <v>0.36509999999999998</v>
      </c>
    </row>
    <row r="1548" spans="1:10" x14ac:dyDescent="0.2">
      <c r="A1548" t="str">
        <f>"07/06/2020"</f>
        <v>07/06/2020</v>
      </c>
      <c r="B1548">
        <v>1</v>
      </c>
      <c r="C1548">
        <v>127000</v>
      </c>
      <c r="D1548">
        <v>321664</v>
      </c>
      <c r="E1548">
        <v>127000</v>
      </c>
      <c r="F1548">
        <v>127000</v>
      </c>
      <c r="G1548" s="1">
        <v>1E-3</v>
      </c>
      <c r="H1548" s="1">
        <v>1E-3</v>
      </c>
      <c r="I1548" s="1">
        <v>1E-3</v>
      </c>
      <c r="J1548" s="1">
        <v>0.36149999999999999</v>
      </c>
    </row>
    <row r="1549" spans="1:10" x14ac:dyDescent="0.2">
      <c r="A1549" t="str">
        <f>"04/06/2020"</f>
        <v>04/06/2020</v>
      </c>
      <c r="B1549">
        <v>3</v>
      </c>
      <c r="C1549">
        <v>127000</v>
      </c>
      <c r="D1549">
        <v>317611</v>
      </c>
      <c r="E1549">
        <v>127000</v>
      </c>
      <c r="F1549">
        <v>127000</v>
      </c>
      <c r="G1549" s="1">
        <v>1E-3</v>
      </c>
      <c r="H1549" s="1">
        <v>1E-3</v>
      </c>
      <c r="I1549" s="1">
        <v>1E-3</v>
      </c>
      <c r="J1549" s="1">
        <v>0.3715</v>
      </c>
    </row>
    <row r="1550" spans="1:10" x14ac:dyDescent="0.2">
      <c r="A1550" t="str">
        <f>"03/06/2020"</f>
        <v>03/06/2020</v>
      </c>
      <c r="B1550">
        <v>1</v>
      </c>
      <c r="C1550">
        <v>125000</v>
      </c>
      <c r="D1550">
        <v>326354</v>
      </c>
      <c r="E1550">
        <v>125000</v>
      </c>
      <c r="F1550">
        <v>125000</v>
      </c>
      <c r="G1550" s="1">
        <v>1E-3</v>
      </c>
      <c r="H1550" s="1">
        <v>1E-3</v>
      </c>
      <c r="I1550" s="1">
        <v>1E-3</v>
      </c>
      <c r="J1550" s="1">
        <v>0.35199999999999998</v>
      </c>
    </row>
    <row r="1551" spans="1:10" x14ac:dyDescent="0.2">
      <c r="A1551" t="str">
        <f>"02/06/2020"</f>
        <v>02/06/2020</v>
      </c>
      <c r="B1551">
        <v>1</v>
      </c>
      <c r="C1551">
        <v>123000</v>
      </c>
      <c r="D1551">
        <v>317370</v>
      </c>
      <c r="E1551">
        <v>123000</v>
      </c>
      <c r="F1551">
        <v>123000</v>
      </c>
      <c r="G1551" s="1">
        <v>1E-3</v>
      </c>
      <c r="H1551" s="1">
        <v>1E-3</v>
      </c>
      <c r="I1551" s="1">
        <v>1E-3</v>
      </c>
      <c r="J1551" s="1">
        <v>0.35489999999999999</v>
      </c>
    </row>
    <row r="1552" spans="1:10" x14ac:dyDescent="0.2">
      <c r="A1552" t="str">
        <f>"01/06/2020"</f>
        <v>01/06/2020</v>
      </c>
      <c r="B1552">
        <v>1</v>
      </c>
      <c r="C1552">
        <v>123000</v>
      </c>
      <c r="D1552">
        <v>314164</v>
      </c>
      <c r="E1552">
        <v>123000</v>
      </c>
      <c r="F1552">
        <v>123000</v>
      </c>
      <c r="G1552" s="1">
        <v>1E-3</v>
      </c>
      <c r="H1552" s="1">
        <v>1E-3</v>
      </c>
      <c r="I1552" s="1">
        <v>1E-3</v>
      </c>
      <c r="J1552" s="1">
        <v>0.3569</v>
      </c>
    </row>
    <row r="1553" spans="1:10" x14ac:dyDescent="0.2">
      <c r="A1553" t="str">
        <f>"31/05/2020"</f>
        <v>31/05/2020</v>
      </c>
      <c r="B1553">
        <v>1</v>
      </c>
      <c r="C1553">
        <v>116000</v>
      </c>
      <c r="D1553">
        <v>257643</v>
      </c>
      <c r="E1553">
        <v>116000</v>
      </c>
      <c r="F1553">
        <v>116000</v>
      </c>
      <c r="G1553" s="1">
        <v>1E-3</v>
      </c>
      <c r="H1553" s="1">
        <v>1E-3</v>
      </c>
      <c r="I1553" s="1">
        <v>1E-3</v>
      </c>
      <c r="J1553" s="1">
        <v>0.41710000000000003</v>
      </c>
    </row>
    <row r="1554" spans="1:10" x14ac:dyDescent="0.2">
      <c r="A1554" t="str">
        <f>"28/05/2020"</f>
        <v>28/05/2020</v>
      </c>
      <c r="B1554">
        <v>3</v>
      </c>
      <c r="C1554">
        <v>110000</v>
      </c>
      <c r="D1554">
        <v>186585</v>
      </c>
      <c r="E1554">
        <v>110000</v>
      </c>
      <c r="F1554">
        <v>110000</v>
      </c>
      <c r="G1554" s="1">
        <v>1E-3</v>
      </c>
      <c r="H1554" s="1">
        <v>1E-3</v>
      </c>
      <c r="I1554" s="1">
        <v>1E-3</v>
      </c>
      <c r="J1554" s="1">
        <v>0.55930000000000002</v>
      </c>
    </row>
    <row r="1555" spans="1:10" x14ac:dyDescent="0.2">
      <c r="A1555" t="str">
        <f>"27/05/2020"</f>
        <v>27/05/2020</v>
      </c>
      <c r="B1555">
        <v>1</v>
      </c>
      <c r="C1555">
        <v>106000</v>
      </c>
      <c r="D1555">
        <v>101685</v>
      </c>
      <c r="E1555">
        <v>101685</v>
      </c>
      <c r="F1555">
        <v>101685</v>
      </c>
      <c r="G1555" s="1">
        <v>1E-3</v>
      </c>
      <c r="H1555" s="1">
        <v>1E-3</v>
      </c>
      <c r="I1555" s="1">
        <v>1E-3</v>
      </c>
      <c r="J1555" s="1">
        <v>1</v>
      </c>
    </row>
    <row r="1556" spans="1:10" x14ac:dyDescent="0.2">
      <c r="A1556" t="str">
        <f>"26/05/2020"</f>
        <v>26/05/2020</v>
      </c>
      <c r="B1556">
        <v>1</v>
      </c>
      <c r="C1556">
        <v>104000</v>
      </c>
      <c r="D1556">
        <v>234648</v>
      </c>
      <c r="E1556">
        <v>104000</v>
      </c>
      <c r="F1556">
        <v>104000</v>
      </c>
      <c r="G1556" s="1">
        <v>1E-3</v>
      </c>
      <c r="H1556" s="1">
        <v>1E-3</v>
      </c>
      <c r="I1556" s="1">
        <v>1E-3</v>
      </c>
      <c r="J1556" s="1">
        <v>0.39090000000000003</v>
      </c>
    </row>
    <row r="1557" spans="1:10" x14ac:dyDescent="0.2">
      <c r="A1557" t="str">
        <f>"25/05/2020"</f>
        <v>25/05/2020</v>
      </c>
      <c r="B1557">
        <v>1</v>
      </c>
      <c r="C1557">
        <v>109000</v>
      </c>
      <c r="D1557">
        <v>268822</v>
      </c>
      <c r="E1557">
        <v>109000</v>
      </c>
      <c r="F1557">
        <v>109000</v>
      </c>
      <c r="G1557" s="1">
        <v>1E-3</v>
      </c>
      <c r="H1557" s="1">
        <v>1E-3</v>
      </c>
      <c r="I1557" s="1">
        <v>1E-3</v>
      </c>
      <c r="J1557" s="1">
        <v>0.36509999999999998</v>
      </c>
    </row>
    <row r="1558" spans="1:10" x14ac:dyDescent="0.2">
      <c r="A1558" t="str">
        <f>"24/05/2020"</f>
        <v>24/05/2020</v>
      </c>
      <c r="B1558">
        <v>1</v>
      </c>
      <c r="C1558">
        <v>108000</v>
      </c>
      <c r="D1558">
        <v>267935</v>
      </c>
      <c r="E1558">
        <v>108000</v>
      </c>
      <c r="F1558">
        <v>108000</v>
      </c>
      <c r="G1558" s="1">
        <v>1E-3</v>
      </c>
      <c r="H1558" s="1">
        <v>1E-3</v>
      </c>
      <c r="I1558" s="1">
        <v>1E-3</v>
      </c>
      <c r="J1558" s="1">
        <v>0.36330000000000001</v>
      </c>
    </row>
    <row r="1559" spans="1:10" x14ac:dyDescent="0.2">
      <c r="A1559" t="str">
        <f>"21/05/2020"</f>
        <v>21/05/2020</v>
      </c>
      <c r="B1559">
        <v>3</v>
      </c>
      <c r="C1559">
        <v>110000</v>
      </c>
      <c r="D1559">
        <v>274709</v>
      </c>
      <c r="E1559">
        <v>110000</v>
      </c>
      <c r="F1559">
        <v>110000</v>
      </c>
      <c r="G1559" s="1">
        <v>1E-3</v>
      </c>
      <c r="H1559" s="1">
        <v>1E-3</v>
      </c>
      <c r="I1559" s="1">
        <v>1E-3</v>
      </c>
      <c r="J1559" s="1">
        <v>0.36309999999999998</v>
      </c>
    </row>
    <row r="1560" spans="1:10" x14ac:dyDescent="0.2">
      <c r="A1560" t="str">
        <f>"20/05/2020"</f>
        <v>20/05/2020</v>
      </c>
      <c r="B1560">
        <v>1</v>
      </c>
      <c r="C1560">
        <v>110000</v>
      </c>
      <c r="D1560">
        <v>283750</v>
      </c>
      <c r="E1560">
        <v>110000</v>
      </c>
      <c r="F1560">
        <v>110000</v>
      </c>
      <c r="G1560" s="1">
        <v>1E-3</v>
      </c>
      <c r="H1560" s="1">
        <v>1E-3</v>
      </c>
      <c r="I1560" s="1">
        <v>1E-3</v>
      </c>
      <c r="J1560" s="1">
        <v>0.34860000000000002</v>
      </c>
    </row>
    <row r="1561" spans="1:10" x14ac:dyDescent="0.2">
      <c r="A1561" t="str">
        <f>"19/05/2020"</f>
        <v>19/05/2020</v>
      </c>
      <c r="B1561">
        <v>1</v>
      </c>
      <c r="C1561">
        <v>107000</v>
      </c>
      <c r="D1561">
        <v>269986</v>
      </c>
      <c r="E1561">
        <v>107000</v>
      </c>
      <c r="F1561">
        <v>107000</v>
      </c>
      <c r="G1561" s="1">
        <v>1E-3</v>
      </c>
      <c r="H1561" s="1">
        <v>1E-3</v>
      </c>
      <c r="I1561" s="1">
        <v>1E-3</v>
      </c>
      <c r="J1561" s="1">
        <v>0.36259999999999998</v>
      </c>
    </row>
    <row r="1562" spans="1:10" x14ac:dyDescent="0.2">
      <c r="A1562" t="str">
        <f>"18/05/2020"</f>
        <v>18/05/2020</v>
      </c>
      <c r="B1562">
        <v>1</v>
      </c>
      <c r="C1562">
        <v>106000</v>
      </c>
      <c r="D1562">
        <v>276812</v>
      </c>
      <c r="E1562">
        <v>106000</v>
      </c>
      <c r="F1562">
        <v>106000</v>
      </c>
      <c r="G1562" s="1">
        <v>1E-3</v>
      </c>
      <c r="H1562" s="1">
        <v>1E-3</v>
      </c>
      <c r="I1562" s="1">
        <v>1E-3</v>
      </c>
      <c r="J1562" s="1">
        <v>0.34710000000000002</v>
      </c>
    </row>
    <row r="1563" spans="1:10" x14ac:dyDescent="0.2">
      <c r="A1563" t="str">
        <f>"17/05/2020"</f>
        <v>17/05/2020</v>
      </c>
      <c r="B1563">
        <v>1</v>
      </c>
      <c r="C1563">
        <v>110000</v>
      </c>
      <c r="D1563">
        <v>294756</v>
      </c>
      <c r="E1563">
        <v>110000</v>
      </c>
      <c r="F1563">
        <v>110000</v>
      </c>
      <c r="G1563" s="1">
        <v>1E-3</v>
      </c>
      <c r="H1563" s="1">
        <v>1E-3</v>
      </c>
      <c r="I1563" s="1">
        <v>1E-3</v>
      </c>
      <c r="J1563" s="1">
        <v>0.3417</v>
      </c>
    </row>
    <row r="1564" spans="1:10" x14ac:dyDescent="0.2">
      <c r="A1564" t="str">
        <f>"14/05/2020"</f>
        <v>14/05/2020</v>
      </c>
      <c r="B1564">
        <v>3</v>
      </c>
      <c r="C1564">
        <v>113000</v>
      </c>
      <c r="D1564">
        <v>300592</v>
      </c>
      <c r="E1564">
        <v>113000</v>
      </c>
      <c r="F1564">
        <v>113000</v>
      </c>
      <c r="G1564" s="1">
        <v>1E-3</v>
      </c>
      <c r="H1564" s="1">
        <v>1E-3</v>
      </c>
      <c r="I1564" s="1">
        <v>1E-3</v>
      </c>
      <c r="J1564" s="1">
        <v>0.33939999999999998</v>
      </c>
    </row>
    <row r="1565" spans="1:10" x14ac:dyDescent="0.2">
      <c r="A1565" t="str">
        <f>"13/05/2020"</f>
        <v>13/05/2020</v>
      </c>
      <c r="B1565">
        <v>1</v>
      </c>
      <c r="C1565">
        <v>115000</v>
      </c>
      <c r="D1565">
        <v>316865</v>
      </c>
      <c r="E1565">
        <v>115000</v>
      </c>
      <c r="F1565">
        <v>115000</v>
      </c>
      <c r="G1565" s="1">
        <v>1E-3</v>
      </c>
      <c r="H1565" s="1">
        <v>1E-3</v>
      </c>
      <c r="I1565" s="1">
        <v>1E-3</v>
      </c>
      <c r="J1565" s="1">
        <v>0.3246</v>
      </c>
    </row>
    <row r="1566" spans="1:10" x14ac:dyDescent="0.2">
      <c r="A1566" t="str">
        <f>"12/05/2020"</f>
        <v>12/05/2020</v>
      </c>
      <c r="B1566">
        <v>1</v>
      </c>
      <c r="C1566">
        <v>115000</v>
      </c>
      <c r="D1566">
        <v>319315</v>
      </c>
      <c r="E1566">
        <v>115000</v>
      </c>
      <c r="F1566">
        <v>115000</v>
      </c>
      <c r="G1566" s="1">
        <v>1E-3</v>
      </c>
      <c r="H1566" s="1">
        <v>1E-3</v>
      </c>
      <c r="I1566" s="1">
        <v>1E-3</v>
      </c>
      <c r="J1566" s="1">
        <v>0.32379999999999998</v>
      </c>
    </row>
    <row r="1567" spans="1:10" x14ac:dyDescent="0.2">
      <c r="A1567" t="str">
        <f>"11/05/2020"</f>
        <v>11/05/2020</v>
      </c>
      <c r="B1567">
        <v>1</v>
      </c>
      <c r="C1567">
        <v>115000</v>
      </c>
      <c r="D1567">
        <v>321164</v>
      </c>
      <c r="E1567">
        <v>115000</v>
      </c>
      <c r="F1567">
        <v>115000</v>
      </c>
      <c r="G1567" s="1">
        <v>1E-3</v>
      </c>
      <c r="H1567" s="1">
        <v>1E-3</v>
      </c>
      <c r="I1567" s="1">
        <v>1E-3</v>
      </c>
      <c r="J1567" s="1">
        <v>0.3241</v>
      </c>
    </row>
    <row r="1568" spans="1:10" x14ac:dyDescent="0.2">
      <c r="A1568" t="str">
        <f>"10/05/2020"</f>
        <v>10/05/2020</v>
      </c>
      <c r="B1568">
        <v>1</v>
      </c>
      <c r="C1568">
        <v>113000</v>
      </c>
      <c r="D1568">
        <v>319970</v>
      </c>
      <c r="E1568">
        <v>113000</v>
      </c>
      <c r="F1568">
        <v>113000</v>
      </c>
      <c r="G1568" s="1">
        <v>1E-3</v>
      </c>
      <c r="H1568" s="1">
        <v>1E-3</v>
      </c>
      <c r="I1568" s="1">
        <v>1E-3</v>
      </c>
      <c r="J1568" s="1">
        <v>0.31590000000000001</v>
      </c>
    </row>
    <row r="1569" spans="1:10" x14ac:dyDescent="0.2">
      <c r="A1569" t="str">
        <f>"07/05/2020"</f>
        <v>07/05/2020</v>
      </c>
      <c r="B1569">
        <v>3</v>
      </c>
      <c r="C1569">
        <v>113000</v>
      </c>
      <c r="D1569">
        <v>312243</v>
      </c>
      <c r="E1569">
        <v>113000</v>
      </c>
      <c r="F1569">
        <v>113000</v>
      </c>
      <c r="G1569" s="1">
        <v>1E-3</v>
      </c>
      <c r="H1569" s="1">
        <v>1E-3</v>
      </c>
      <c r="I1569" s="1">
        <v>1E-3</v>
      </c>
      <c r="J1569" s="1">
        <v>0.32440000000000002</v>
      </c>
    </row>
    <row r="1570" spans="1:10" x14ac:dyDescent="0.2">
      <c r="A1570" t="str">
        <f>"06/05/2020"</f>
        <v>06/05/2020</v>
      </c>
      <c r="B1570">
        <v>1</v>
      </c>
      <c r="C1570">
        <v>115000</v>
      </c>
      <c r="D1570">
        <v>330126</v>
      </c>
      <c r="E1570">
        <v>115000</v>
      </c>
      <c r="F1570">
        <v>115000</v>
      </c>
      <c r="G1570" s="1">
        <v>1E-3</v>
      </c>
      <c r="H1570" s="1">
        <v>1E-3</v>
      </c>
      <c r="I1570" s="1">
        <v>1E-3</v>
      </c>
      <c r="J1570" s="1">
        <v>0.30159999999999998</v>
      </c>
    </row>
    <row r="1571" spans="1:10" x14ac:dyDescent="0.2">
      <c r="A1571" t="str">
        <f>"05/05/2020"</f>
        <v>05/05/2020</v>
      </c>
      <c r="B1571">
        <v>1</v>
      </c>
      <c r="C1571">
        <v>107000</v>
      </c>
      <c r="D1571">
        <v>300675</v>
      </c>
      <c r="E1571">
        <v>107000</v>
      </c>
      <c r="F1571">
        <v>107000</v>
      </c>
      <c r="G1571" s="1">
        <v>1E-3</v>
      </c>
      <c r="H1571" s="1">
        <v>1E-3</v>
      </c>
      <c r="I1571" s="1">
        <v>1E-3</v>
      </c>
      <c r="J1571" s="1">
        <v>0.31369999999999998</v>
      </c>
    </row>
    <row r="1572" spans="1:10" x14ac:dyDescent="0.2">
      <c r="A1572" t="str">
        <f>"04/05/2020"</f>
        <v>04/05/2020</v>
      </c>
      <c r="B1572">
        <v>1</v>
      </c>
      <c r="C1572">
        <v>109000</v>
      </c>
      <c r="D1572">
        <v>307268</v>
      </c>
      <c r="E1572">
        <v>109000</v>
      </c>
      <c r="F1572">
        <v>109000</v>
      </c>
      <c r="G1572" s="1">
        <v>1E-3</v>
      </c>
      <c r="H1572" s="1">
        <v>1E-3</v>
      </c>
      <c r="I1572" s="1">
        <v>1E-3</v>
      </c>
      <c r="J1572" s="1">
        <v>0.31190000000000001</v>
      </c>
    </row>
    <row r="1573" spans="1:10" x14ac:dyDescent="0.2">
      <c r="A1573" t="str">
        <f>"03/05/2020"</f>
        <v>03/05/2020</v>
      </c>
      <c r="B1573">
        <v>1</v>
      </c>
      <c r="C1573">
        <v>105000</v>
      </c>
      <c r="D1573">
        <v>296555</v>
      </c>
      <c r="E1573">
        <v>105000</v>
      </c>
      <c r="F1573">
        <v>105000</v>
      </c>
      <c r="G1573" s="1">
        <v>1E-3</v>
      </c>
      <c r="H1573" s="1">
        <v>1E-3</v>
      </c>
      <c r="I1573" s="1">
        <v>1E-3</v>
      </c>
      <c r="J1573" s="1">
        <v>0.3125</v>
      </c>
    </row>
    <row r="1574" spans="1:10" x14ac:dyDescent="0.2">
      <c r="A1574" t="str">
        <f>"30/04/2020"</f>
        <v>30/04/2020</v>
      </c>
      <c r="B1574">
        <v>3</v>
      </c>
      <c r="C1574">
        <v>95000</v>
      </c>
      <c r="D1574">
        <v>258093</v>
      </c>
      <c r="E1574">
        <v>95000</v>
      </c>
      <c r="F1574">
        <v>95000</v>
      </c>
      <c r="G1574" s="1">
        <v>1E-3</v>
      </c>
      <c r="H1574" s="1">
        <v>1E-3</v>
      </c>
      <c r="I1574" s="1">
        <v>1E-3</v>
      </c>
      <c r="J1574" s="1">
        <v>0.32250000000000001</v>
      </c>
    </row>
    <row r="1575" spans="1:10" x14ac:dyDescent="0.2">
      <c r="A1575" t="str">
        <f>"27/04/2020"</f>
        <v>27/04/2020</v>
      </c>
      <c r="B1575">
        <v>3</v>
      </c>
      <c r="C1575">
        <v>91000</v>
      </c>
      <c r="D1575">
        <v>248331</v>
      </c>
      <c r="E1575">
        <v>91000</v>
      </c>
      <c r="F1575">
        <v>91000</v>
      </c>
      <c r="G1575" s="1">
        <v>1E-3</v>
      </c>
      <c r="H1575" s="1">
        <v>1E-3</v>
      </c>
      <c r="I1575" s="1">
        <v>1E-3</v>
      </c>
      <c r="J1575" s="1">
        <v>0.33029999999999998</v>
      </c>
    </row>
    <row r="1576" spans="1:10" x14ac:dyDescent="0.2">
      <c r="A1576" t="str">
        <f>"26/04/2020"</f>
        <v>26/04/2020</v>
      </c>
      <c r="B1576">
        <v>1</v>
      </c>
      <c r="C1576">
        <v>95000</v>
      </c>
      <c r="D1576">
        <v>261498</v>
      </c>
      <c r="E1576">
        <v>95000</v>
      </c>
      <c r="F1576">
        <v>95000</v>
      </c>
      <c r="G1576" s="1">
        <v>1E-3</v>
      </c>
      <c r="H1576" s="1">
        <v>1E-3</v>
      </c>
      <c r="I1576" s="1">
        <v>1E-3</v>
      </c>
      <c r="J1576" s="1">
        <v>0.33</v>
      </c>
    </row>
    <row r="1577" spans="1:10" x14ac:dyDescent="0.2">
      <c r="A1577" t="str">
        <f>"23/04/2020"</f>
        <v>23/04/2020</v>
      </c>
      <c r="B1577">
        <v>3</v>
      </c>
      <c r="C1577">
        <v>96000</v>
      </c>
      <c r="D1577">
        <v>263000</v>
      </c>
      <c r="E1577">
        <v>96000</v>
      </c>
      <c r="F1577">
        <v>96000</v>
      </c>
      <c r="G1577" s="1">
        <v>1E-3</v>
      </c>
      <c r="H1577" s="1">
        <v>1E-3</v>
      </c>
      <c r="I1577" s="1">
        <v>1E-3</v>
      </c>
      <c r="J1577" s="1">
        <v>0.3296</v>
      </c>
    </row>
    <row r="1578" spans="1:10" x14ac:dyDescent="0.2">
      <c r="A1578" t="str">
        <f>"22/04/2020"</f>
        <v>22/04/2020</v>
      </c>
      <c r="B1578">
        <v>1</v>
      </c>
      <c r="C1578">
        <v>97000</v>
      </c>
      <c r="D1578">
        <v>259048</v>
      </c>
      <c r="E1578">
        <v>97000</v>
      </c>
      <c r="F1578">
        <v>97000</v>
      </c>
      <c r="G1578" s="1">
        <v>1E-3</v>
      </c>
      <c r="H1578" s="1">
        <v>1E-3</v>
      </c>
      <c r="I1578" s="1">
        <v>1E-3</v>
      </c>
      <c r="J1578" s="1">
        <v>0.33879999999999999</v>
      </c>
    </row>
    <row r="1579" spans="1:10" x14ac:dyDescent="0.2">
      <c r="A1579" t="str">
        <f>"21/04/2020"</f>
        <v>21/04/2020</v>
      </c>
      <c r="B1579">
        <v>1</v>
      </c>
      <c r="C1579">
        <v>93000</v>
      </c>
      <c r="D1579">
        <v>241693</v>
      </c>
      <c r="E1579">
        <v>93000</v>
      </c>
      <c r="F1579">
        <v>93000</v>
      </c>
      <c r="G1579" s="1">
        <v>1E-3</v>
      </c>
      <c r="H1579" s="1">
        <v>1E-3</v>
      </c>
      <c r="I1579" s="1">
        <v>1E-3</v>
      </c>
      <c r="J1579" s="1">
        <v>0.3503</v>
      </c>
    </row>
    <row r="1580" spans="1:10" x14ac:dyDescent="0.2">
      <c r="A1580" t="str">
        <f>"20/04/2020"</f>
        <v>20/04/2020</v>
      </c>
      <c r="B1580">
        <v>1</v>
      </c>
      <c r="C1580">
        <v>96000</v>
      </c>
      <c r="D1580">
        <v>253588</v>
      </c>
      <c r="E1580">
        <v>96000</v>
      </c>
      <c r="F1580">
        <v>96000</v>
      </c>
      <c r="G1580" s="1">
        <v>1E-3</v>
      </c>
      <c r="H1580" s="1">
        <v>1E-3</v>
      </c>
      <c r="I1580" s="1">
        <v>1E-3</v>
      </c>
      <c r="J1580" s="1">
        <v>0.3458</v>
      </c>
    </row>
    <row r="1581" spans="1:10" x14ac:dyDescent="0.2">
      <c r="A1581" t="str">
        <f>"19/04/2020"</f>
        <v>19/04/2020</v>
      </c>
      <c r="B1581">
        <v>1</v>
      </c>
      <c r="C1581">
        <v>100000</v>
      </c>
      <c r="D1581">
        <v>263376</v>
      </c>
      <c r="E1581">
        <v>100000</v>
      </c>
      <c r="F1581">
        <v>100000</v>
      </c>
      <c r="G1581" s="1">
        <v>1E-3</v>
      </c>
      <c r="H1581" s="1">
        <v>1E-3</v>
      </c>
      <c r="I1581" s="1">
        <v>1E-3</v>
      </c>
      <c r="J1581" s="1">
        <v>0.34760000000000002</v>
      </c>
    </row>
    <row r="1582" spans="1:10" x14ac:dyDescent="0.2">
      <c r="A1582" t="str">
        <f>"16/04/2020"</f>
        <v>16/04/2020</v>
      </c>
      <c r="B1582">
        <v>3</v>
      </c>
      <c r="C1582">
        <v>102000</v>
      </c>
      <c r="D1582">
        <v>266919</v>
      </c>
      <c r="E1582">
        <v>102000</v>
      </c>
      <c r="F1582">
        <v>102000</v>
      </c>
      <c r="G1582" s="1">
        <v>1E-3</v>
      </c>
      <c r="H1582" s="1">
        <v>1E-3</v>
      </c>
      <c r="I1582" s="1">
        <v>1E-3</v>
      </c>
      <c r="J1582" s="1">
        <v>0.34699999999999998</v>
      </c>
    </row>
    <row r="1583" spans="1:10" x14ac:dyDescent="0.2">
      <c r="A1583" t="str">
        <f>"13/04/2020"</f>
        <v>13/04/2020</v>
      </c>
      <c r="B1583">
        <v>3</v>
      </c>
      <c r="C1583">
        <v>107000</v>
      </c>
      <c r="D1583">
        <v>273676</v>
      </c>
      <c r="E1583">
        <v>107000</v>
      </c>
      <c r="F1583">
        <v>107000</v>
      </c>
      <c r="G1583" s="1">
        <v>1E-3</v>
      </c>
      <c r="H1583" s="1">
        <v>1E-3</v>
      </c>
      <c r="I1583" s="1">
        <v>1E-3</v>
      </c>
      <c r="J1583" s="1">
        <v>0.35310000000000002</v>
      </c>
    </row>
    <row r="1584" spans="1:10" x14ac:dyDescent="0.2">
      <c r="A1584" t="str">
        <f>"12/04/2020"</f>
        <v>12/04/2020</v>
      </c>
      <c r="B1584">
        <v>1</v>
      </c>
      <c r="C1584">
        <v>107000</v>
      </c>
      <c r="D1584">
        <v>287125</v>
      </c>
      <c r="E1584">
        <v>107000</v>
      </c>
      <c r="F1584">
        <v>107000</v>
      </c>
      <c r="G1584" s="1">
        <v>1E-3</v>
      </c>
      <c r="H1584" s="1">
        <v>1E-3</v>
      </c>
      <c r="I1584" s="1">
        <v>1E-3</v>
      </c>
      <c r="J1584" s="1">
        <v>0.3337</v>
      </c>
    </row>
    <row r="1585" spans="1:10" x14ac:dyDescent="0.2">
      <c r="A1585" t="str">
        <f>"07/04/2020"</f>
        <v>07/04/2020</v>
      </c>
      <c r="B1585">
        <v>5</v>
      </c>
      <c r="C1585">
        <v>100000</v>
      </c>
      <c r="D1585">
        <v>268988</v>
      </c>
      <c r="E1585">
        <v>100000</v>
      </c>
      <c r="F1585">
        <v>100000</v>
      </c>
      <c r="G1585" s="1">
        <v>2.5000000000000001E-3</v>
      </c>
      <c r="H1585" s="1">
        <v>2.5000000000000001E-3</v>
      </c>
      <c r="I1585" s="1">
        <v>2.5000000000000001E-3</v>
      </c>
      <c r="J1585" s="1">
        <v>0.33629999999999999</v>
      </c>
    </row>
    <row r="1586" spans="1:10" x14ac:dyDescent="0.2">
      <c r="A1586" t="str">
        <f>"06/04/2020"</f>
        <v>06/04/2020</v>
      </c>
      <c r="B1586">
        <v>1</v>
      </c>
      <c r="C1586">
        <v>99000</v>
      </c>
      <c r="D1586">
        <v>258028</v>
      </c>
      <c r="E1586">
        <v>99000</v>
      </c>
      <c r="F1586">
        <v>99000</v>
      </c>
      <c r="G1586" s="1">
        <v>2.5000000000000001E-3</v>
      </c>
      <c r="H1586" s="1">
        <v>2.5000000000000001E-3</v>
      </c>
      <c r="I1586" s="1">
        <v>2.5000000000000001E-3</v>
      </c>
      <c r="J1586" s="1">
        <v>0.34749999999999998</v>
      </c>
    </row>
    <row r="1587" spans="1:10" x14ac:dyDescent="0.2">
      <c r="A1587" t="str">
        <f>"05/04/2020"</f>
        <v>05/04/2020</v>
      </c>
      <c r="B1587">
        <v>1</v>
      </c>
      <c r="C1587">
        <v>96000</v>
      </c>
      <c r="D1587">
        <v>215911</v>
      </c>
      <c r="E1587">
        <v>96000</v>
      </c>
      <c r="F1587">
        <v>96000</v>
      </c>
      <c r="G1587" s="1">
        <v>2.5000000000000001E-3</v>
      </c>
      <c r="H1587" s="1">
        <v>2.5000000000000001E-3</v>
      </c>
      <c r="I1587" s="1">
        <v>2.5000000000000001E-3</v>
      </c>
      <c r="J1587" s="1">
        <v>0.40920000000000001</v>
      </c>
    </row>
    <row r="1588" spans="1:10" x14ac:dyDescent="0.2">
      <c r="A1588" t="str">
        <f>"02/04/2020"</f>
        <v>02/04/2020</v>
      </c>
      <c r="B1588">
        <v>3</v>
      </c>
      <c r="C1588">
        <v>95000</v>
      </c>
      <c r="D1588">
        <v>160937</v>
      </c>
      <c r="E1588">
        <v>95000</v>
      </c>
      <c r="F1588">
        <v>95000</v>
      </c>
      <c r="G1588" s="1">
        <v>2.5000000000000001E-3</v>
      </c>
      <c r="H1588" s="1">
        <v>2.5000000000000001E-3</v>
      </c>
      <c r="I1588" s="1">
        <v>2.5000000000000001E-3</v>
      </c>
      <c r="J1588" s="1">
        <v>0.55569999999999997</v>
      </c>
    </row>
    <row r="1589" spans="1:10" x14ac:dyDescent="0.2">
      <c r="A1589" t="str">
        <f>"01/04/2020"</f>
        <v>01/04/2020</v>
      </c>
      <c r="B1589">
        <v>1</v>
      </c>
      <c r="C1589">
        <v>87000</v>
      </c>
      <c r="D1589">
        <v>88702</v>
      </c>
      <c r="E1589">
        <v>87000</v>
      </c>
      <c r="F1589">
        <v>87000</v>
      </c>
      <c r="G1589" s="1">
        <v>2.5000000000000001E-3</v>
      </c>
      <c r="H1589" s="1">
        <v>2.5000000000000001E-3</v>
      </c>
      <c r="I1589" s="1">
        <v>2.5000000000000001E-3</v>
      </c>
      <c r="J1589" s="1">
        <v>0.96579999999999999</v>
      </c>
    </row>
    <row r="1590" spans="1:10" x14ac:dyDescent="0.2">
      <c r="A1590" t="str">
        <f>"31/03/2020"</f>
        <v>31/03/2020</v>
      </c>
      <c r="B1590">
        <v>1</v>
      </c>
      <c r="C1590">
        <v>74000</v>
      </c>
      <c r="D1590">
        <v>168652</v>
      </c>
      <c r="E1590">
        <v>74000</v>
      </c>
      <c r="F1590">
        <v>74000</v>
      </c>
      <c r="G1590" s="1">
        <v>2.5000000000000001E-3</v>
      </c>
      <c r="H1590" s="1">
        <v>2.5000000000000001E-3</v>
      </c>
      <c r="I1590" s="1">
        <v>2.5000000000000001E-3</v>
      </c>
      <c r="J1590" s="1">
        <v>0.36580000000000001</v>
      </c>
    </row>
    <row r="1591" spans="1:10" x14ac:dyDescent="0.2">
      <c r="A1591" t="str">
        <f>"30/03/2020"</f>
        <v>30/03/2020</v>
      </c>
      <c r="B1591">
        <v>1</v>
      </c>
      <c r="C1591">
        <v>72000</v>
      </c>
      <c r="D1591">
        <v>181363</v>
      </c>
      <c r="E1591">
        <v>72000</v>
      </c>
      <c r="F1591">
        <v>72000</v>
      </c>
      <c r="G1591" s="1">
        <v>2.5000000000000001E-3</v>
      </c>
      <c r="H1591" s="1">
        <v>2.5000000000000001E-3</v>
      </c>
      <c r="I1591" s="1">
        <v>2.5000000000000001E-3</v>
      </c>
      <c r="J1591" s="1">
        <v>0.32550000000000001</v>
      </c>
    </row>
    <row r="1592" spans="1:10" x14ac:dyDescent="0.2">
      <c r="A1592" t="str">
        <f>"29/03/2020"</f>
        <v>29/03/2020</v>
      </c>
      <c r="B1592">
        <v>1</v>
      </c>
      <c r="C1592">
        <v>73000</v>
      </c>
      <c r="D1592">
        <v>197345</v>
      </c>
      <c r="E1592">
        <v>73000</v>
      </c>
      <c r="F1592">
        <v>73000</v>
      </c>
      <c r="G1592" s="1">
        <v>2.5000000000000001E-3</v>
      </c>
      <c r="H1592" s="1">
        <v>2.5000000000000001E-3</v>
      </c>
      <c r="I1592" s="1">
        <v>2.5000000000000001E-3</v>
      </c>
      <c r="J1592" s="1">
        <v>0.30459999999999998</v>
      </c>
    </row>
    <row r="1593" spans="1:10" x14ac:dyDescent="0.2">
      <c r="A1593" t="str">
        <f>"26/03/2020"</f>
        <v>26/03/2020</v>
      </c>
      <c r="B1593">
        <v>3</v>
      </c>
      <c r="C1593">
        <v>66000</v>
      </c>
      <c r="D1593">
        <v>174845</v>
      </c>
      <c r="E1593">
        <v>66000</v>
      </c>
      <c r="F1593">
        <v>66000</v>
      </c>
      <c r="G1593" s="1">
        <v>2.5000000000000001E-3</v>
      </c>
      <c r="H1593" s="1">
        <v>2.5000000000000001E-3</v>
      </c>
      <c r="I1593" s="1">
        <v>2.5000000000000001E-3</v>
      </c>
      <c r="J1593" s="1">
        <v>0.30719999999999997</v>
      </c>
    </row>
    <row r="1594" spans="1:10" x14ac:dyDescent="0.2">
      <c r="A1594" t="str">
        <f>"25/03/2020"</f>
        <v>25/03/2020</v>
      </c>
      <c r="B1594">
        <v>1</v>
      </c>
      <c r="C1594">
        <v>64000</v>
      </c>
      <c r="D1594">
        <v>157393</v>
      </c>
      <c r="E1594">
        <v>64000</v>
      </c>
      <c r="F1594">
        <v>64000</v>
      </c>
      <c r="G1594" s="1">
        <v>2.5000000000000001E-3</v>
      </c>
      <c r="H1594" s="1">
        <v>2.5000000000000001E-3</v>
      </c>
      <c r="I1594" s="1">
        <v>2.5000000000000001E-3</v>
      </c>
      <c r="J1594" s="1">
        <v>0.32919999999999999</v>
      </c>
    </row>
    <row r="1595" spans="1:10" x14ac:dyDescent="0.2">
      <c r="A1595" t="str">
        <f>"24/03/2020"</f>
        <v>24/03/2020</v>
      </c>
      <c r="B1595">
        <v>1</v>
      </c>
      <c r="C1595">
        <v>63000</v>
      </c>
      <c r="D1595">
        <v>132660</v>
      </c>
      <c r="E1595">
        <v>63000</v>
      </c>
      <c r="F1595">
        <v>63000</v>
      </c>
      <c r="G1595" s="1">
        <v>2.5000000000000001E-3</v>
      </c>
      <c r="H1595" s="1">
        <v>2.5000000000000001E-3</v>
      </c>
      <c r="I1595" s="1">
        <v>2.5000000000000001E-3</v>
      </c>
      <c r="J1595" s="1">
        <v>0.39269999999999999</v>
      </c>
    </row>
    <row r="1596" spans="1:10" x14ac:dyDescent="0.2">
      <c r="A1596" t="str">
        <f>"23/03/2020"</f>
        <v>23/03/2020</v>
      </c>
      <c r="B1596">
        <v>1</v>
      </c>
      <c r="C1596">
        <v>62000</v>
      </c>
      <c r="D1596">
        <v>118581</v>
      </c>
      <c r="E1596">
        <v>62000</v>
      </c>
      <c r="F1596">
        <v>62000</v>
      </c>
      <c r="G1596" s="1">
        <v>2.5000000000000001E-3</v>
      </c>
      <c r="H1596" s="1">
        <v>2.5000000000000001E-3</v>
      </c>
      <c r="I1596" s="1">
        <v>2.5000000000000001E-3</v>
      </c>
      <c r="J1596" s="1">
        <v>0.43869999999999998</v>
      </c>
    </row>
    <row r="1597" spans="1:10" x14ac:dyDescent="0.2">
      <c r="A1597" t="str">
        <f>"22/03/2020"</f>
        <v>22/03/2020</v>
      </c>
      <c r="B1597">
        <v>1</v>
      </c>
      <c r="C1597">
        <v>64000</v>
      </c>
      <c r="D1597">
        <v>111568</v>
      </c>
      <c r="E1597">
        <v>64000</v>
      </c>
      <c r="F1597">
        <v>64000</v>
      </c>
      <c r="G1597" s="1">
        <v>2.5000000000000001E-3</v>
      </c>
      <c r="H1597" s="1">
        <v>2.5000000000000001E-3</v>
      </c>
      <c r="I1597" s="1">
        <v>2.5000000000000001E-3</v>
      </c>
      <c r="J1597" s="1">
        <v>0.48920000000000002</v>
      </c>
    </row>
    <row r="1598" spans="1:10" x14ac:dyDescent="0.2">
      <c r="A1598" t="str">
        <f>"19/03/2020"</f>
        <v>19/03/2020</v>
      </c>
      <c r="B1598">
        <v>3</v>
      </c>
      <c r="C1598">
        <v>65000</v>
      </c>
      <c r="D1598">
        <v>117626</v>
      </c>
      <c r="E1598">
        <v>65000</v>
      </c>
      <c r="F1598">
        <v>65000</v>
      </c>
      <c r="G1598" s="1">
        <v>2.5000000000000001E-3</v>
      </c>
      <c r="H1598" s="1">
        <v>2.5000000000000001E-3</v>
      </c>
      <c r="I1598" s="1">
        <v>2.5000000000000001E-3</v>
      </c>
      <c r="J1598" s="1">
        <v>0.48499999999999999</v>
      </c>
    </row>
    <row r="1599" spans="1:10" x14ac:dyDescent="0.2">
      <c r="A1599" t="str">
        <f>"18/03/2020"</f>
        <v>18/03/2020</v>
      </c>
      <c r="B1599">
        <v>1</v>
      </c>
      <c r="C1599">
        <v>69000</v>
      </c>
      <c r="D1599">
        <v>116460</v>
      </c>
      <c r="E1599">
        <v>69000</v>
      </c>
      <c r="F1599">
        <v>69000</v>
      </c>
      <c r="G1599" s="1">
        <v>2.5000000000000001E-3</v>
      </c>
      <c r="H1599" s="1">
        <v>2.5000000000000001E-3</v>
      </c>
      <c r="I1599" s="1">
        <v>2.5000000000000001E-3</v>
      </c>
      <c r="J1599" s="1">
        <v>0.52680000000000005</v>
      </c>
    </row>
    <row r="1600" spans="1:10" x14ac:dyDescent="0.2">
      <c r="A1600" t="str">
        <f>"17/03/2020"</f>
        <v>17/03/2020</v>
      </c>
      <c r="B1600">
        <v>1</v>
      </c>
      <c r="C1600">
        <v>74000</v>
      </c>
      <c r="D1600">
        <v>125069</v>
      </c>
      <c r="E1600">
        <v>74000</v>
      </c>
      <c r="F1600">
        <v>74000</v>
      </c>
      <c r="G1600" s="1">
        <v>2.5000000000000001E-3</v>
      </c>
      <c r="H1600" s="1">
        <v>2.5000000000000001E-3</v>
      </c>
      <c r="I1600" s="1">
        <v>2.5000000000000001E-3</v>
      </c>
      <c r="J1600" s="1">
        <v>0.53420000000000001</v>
      </c>
    </row>
    <row r="1601" spans="1:10" x14ac:dyDescent="0.2">
      <c r="A1601" t="str">
        <f>"16/03/2020"</f>
        <v>16/03/2020</v>
      </c>
      <c r="B1601">
        <v>1</v>
      </c>
      <c r="C1601">
        <v>81000</v>
      </c>
      <c r="D1601">
        <v>141548</v>
      </c>
      <c r="E1601">
        <v>81000</v>
      </c>
      <c r="F1601">
        <v>81000</v>
      </c>
      <c r="G1601" s="1">
        <v>2.5000000000000001E-3</v>
      </c>
      <c r="H1601" s="1">
        <v>2.5000000000000001E-3</v>
      </c>
      <c r="I1601" s="1">
        <v>2.5000000000000001E-3</v>
      </c>
      <c r="J1601" s="1">
        <v>0.51700000000000002</v>
      </c>
    </row>
    <row r="1602" spans="1:10" x14ac:dyDescent="0.2">
      <c r="A1602" t="str">
        <f>"15/03/2020"</f>
        <v>15/03/2020</v>
      </c>
      <c r="B1602">
        <v>1</v>
      </c>
      <c r="C1602">
        <v>90000</v>
      </c>
      <c r="D1602">
        <v>173545</v>
      </c>
      <c r="E1602">
        <v>90000</v>
      </c>
      <c r="F1602">
        <v>90000</v>
      </c>
      <c r="G1602" s="1">
        <v>2.5000000000000001E-3</v>
      </c>
      <c r="H1602" s="1">
        <v>2.5000000000000001E-3</v>
      </c>
      <c r="I1602" s="1">
        <v>2.5000000000000001E-3</v>
      </c>
      <c r="J1602" s="1">
        <v>0.47160000000000002</v>
      </c>
    </row>
    <row r="1603" spans="1:10" x14ac:dyDescent="0.2">
      <c r="A1603" t="str">
        <f>"12/03/2020"</f>
        <v>12/03/2020</v>
      </c>
      <c r="B1603">
        <v>3</v>
      </c>
      <c r="C1603">
        <v>93000</v>
      </c>
      <c r="D1603">
        <v>205371</v>
      </c>
      <c r="E1603">
        <v>93000</v>
      </c>
      <c r="F1603">
        <v>93000</v>
      </c>
      <c r="G1603" s="1">
        <v>2.5000000000000001E-3</v>
      </c>
      <c r="H1603" s="1">
        <v>2.5000000000000001E-3</v>
      </c>
      <c r="I1603" s="1">
        <v>2.5000000000000001E-3</v>
      </c>
      <c r="J1603" s="1">
        <v>0.40910000000000002</v>
      </c>
    </row>
    <row r="1604" spans="1:10" x14ac:dyDescent="0.2">
      <c r="A1604" t="str">
        <f>"11/03/2020"</f>
        <v>11/03/2020</v>
      </c>
      <c r="B1604">
        <v>1</v>
      </c>
      <c r="C1604">
        <v>93000</v>
      </c>
      <c r="D1604">
        <v>222840</v>
      </c>
      <c r="E1604">
        <v>93000</v>
      </c>
      <c r="F1604">
        <v>93000</v>
      </c>
      <c r="G1604" s="1">
        <v>2.5000000000000001E-3</v>
      </c>
      <c r="H1604" s="1">
        <v>2.5000000000000001E-3</v>
      </c>
      <c r="I1604" s="1">
        <v>2.5000000000000001E-3</v>
      </c>
      <c r="J1604" s="1">
        <v>0.372</v>
      </c>
    </row>
    <row r="1605" spans="1:10" x14ac:dyDescent="0.2">
      <c r="A1605" t="str">
        <f>"09/03/2020"</f>
        <v>09/03/2020</v>
      </c>
      <c r="B1605">
        <v>2</v>
      </c>
      <c r="C1605">
        <v>97000</v>
      </c>
      <c r="D1605">
        <v>239296</v>
      </c>
      <c r="E1605">
        <v>97000</v>
      </c>
      <c r="F1605">
        <v>97000</v>
      </c>
      <c r="G1605" s="1">
        <v>2.5000000000000001E-3</v>
      </c>
      <c r="H1605" s="1">
        <v>2.5000000000000001E-3</v>
      </c>
      <c r="I1605" s="1">
        <v>2.5000000000000001E-3</v>
      </c>
      <c r="J1605" s="1">
        <v>0.36459999999999998</v>
      </c>
    </row>
    <row r="1606" spans="1:10" x14ac:dyDescent="0.2">
      <c r="A1606" t="str">
        <f>"08/03/2020"</f>
        <v>08/03/2020</v>
      </c>
      <c r="B1606">
        <v>1</v>
      </c>
      <c r="C1606">
        <v>96000</v>
      </c>
      <c r="D1606">
        <v>265930</v>
      </c>
      <c r="E1606">
        <v>96000</v>
      </c>
      <c r="F1606">
        <v>96000</v>
      </c>
      <c r="G1606" s="1">
        <v>2.5000000000000001E-3</v>
      </c>
      <c r="H1606" s="1">
        <v>2.5000000000000001E-3</v>
      </c>
      <c r="I1606" s="1">
        <v>2.5000000000000001E-3</v>
      </c>
      <c r="J1606" s="1">
        <v>0.33100000000000002</v>
      </c>
    </row>
    <row r="1607" spans="1:10" x14ac:dyDescent="0.2">
      <c r="A1607" t="str">
        <f>"05/03/2020"</f>
        <v>05/03/2020</v>
      </c>
      <c r="B1607">
        <v>3</v>
      </c>
      <c r="C1607">
        <v>97000</v>
      </c>
      <c r="D1607">
        <v>267495</v>
      </c>
      <c r="E1607">
        <v>97000</v>
      </c>
      <c r="F1607">
        <v>97000</v>
      </c>
      <c r="G1607" s="1">
        <v>2.5000000000000001E-3</v>
      </c>
      <c r="H1607" s="1">
        <v>2.5000000000000001E-3</v>
      </c>
      <c r="I1607" s="1">
        <v>2.5000000000000001E-3</v>
      </c>
      <c r="J1607" s="1">
        <v>0.33400000000000002</v>
      </c>
    </row>
    <row r="1608" spans="1:10" x14ac:dyDescent="0.2">
      <c r="A1608" t="str">
        <f>"04/03/2020"</f>
        <v>04/03/2020</v>
      </c>
      <c r="B1608">
        <v>1</v>
      </c>
      <c r="C1608">
        <v>100000</v>
      </c>
      <c r="D1608">
        <v>274397</v>
      </c>
      <c r="E1608">
        <v>100000</v>
      </c>
      <c r="F1608">
        <v>100000</v>
      </c>
      <c r="G1608" s="1">
        <v>2.5000000000000001E-3</v>
      </c>
      <c r="H1608" s="1">
        <v>2.5000000000000001E-3</v>
      </c>
      <c r="I1608" s="1">
        <v>2.5000000000000001E-3</v>
      </c>
      <c r="J1608" s="1">
        <v>0.33329999999999999</v>
      </c>
    </row>
    <row r="1609" spans="1:10" x14ac:dyDescent="0.2">
      <c r="A1609" t="str">
        <f>"03/03/2020"</f>
        <v>03/03/2020</v>
      </c>
      <c r="B1609">
        <v>1</v>
      </c>
      <c r="C1609">
        <v>97000</v>
      </c>
      <c r="D1609">
        <v>251995</v>
      </c>
      <c r="E1609">
        <v>97000</v>
      </c>
      <c r="F1609">
        <v>97000</v>
      </c>
      <c r="G1609" s="1">
        <v>2.5000000000000001E-3</v>
      </c>
      <c r="H1609" s="1">
        <v>2.5000000000000001E-3</v>
      </c>
      <c r="I1609" s="1">
        <v>2.5000000000000001E-3</v>
      </c>
      <c r="J1609" s="1">
        <v>0.35199999999999998</v>
      </c>
    </row>
    <row r="1610" spans="1:10" x14ac:dyDescent="0.2">
      <c r="A1610" t="str">
        <f>"01/03/2020"</f>
        <v>01/03/2020</v>
      </c>
      <c r="B1610">
        <v>2</v>
      </c>
      <c r="C1610">
        <v>92000</v>
      </c>
      <c r="D1610">
        <v>233200</v>
      </c>
      <c r="E1610">
        <v>92000</v>
      </c>
      <c r="F1610">
        <v>92000</v>
      </c>
      <c r="G1610" s="1">
        <v>2.5000000000000001E-3</v>
      </c>
      <c r="H1610" s="1">
        <v>2.5000000000000001E-3</v>
      </c>
      <c r="I1610" s="1">
        <v>2.5000000000000001E-3</v>
      </c>
      <c r="J1610" s="1">
        <v>0.3629</v>
      </c>
    </row>
    <row r="1611" spans="1:10" x14ac:dyDescent="0.2">
      <c r="A1611" t="str">
        <f>"27/02/2020"</f>
        <v>27/02/2020</v>
      </c>
      <c r="B1611">
        <v>3</v>
      </c>
      <c r="C1611">
        <v>77000</v>
      </c>
      <c r="D1611">
        <v>133068</v>
      </c>
      <c r="E1611">
        <v>77000</v>
      </c>
      <c r="F1611">
        <v>77000</v>
      </c>
      <c r="G1611" s="1">
        <v>2.5000000000000001E-3</v>
      </c>
      <c r="H1611" s="1">
        <v>2.5000000000000001E-3</v>
      </c>
      <c r="I1611" s="1">
        <v>2.5000000000000001E-3</v>
      </c>
      <c r="J1611" s="1">
        <v>0.54590000000000005</v>
      </c>
    </row>
    <row r="1612" spans="1:10" x14ac:dyDescent="0.2">
      <c r="A1612" t="str">
        <f>"26/02/2020"</f>
        <v>26/02/2020</v>
      </c>
      <c r="B1612">
        <v>1</v>
      </c>
      <c r="C1612">
        <v>68000</v>
      </c>
      <c r="D1612">
        <v>65684</v>
      </c>
      <c r="E1612">
        <v>65684</v>
      </c>
      <c r="F1612">
        <v>65684</v>
      </c>
      <c r="G1612" s="1">
        <v>2.5000000000000001E-3</v>
      </c>
      <c r="H1612" s="1">
        <v>2.5000000000000001E-3</v>
      </c>
      <c r="I1612" s="1">
        <v>2.5000000000000001E-3</v>
      </c>
      <c r="J1612" s="1">
        <v>1</v>
      </c>
    </row>
    <row r="1613" spans="1:10" x14ac:dyDescent="0.2">
      <c r="A1613" t="str">
        <f>"25/02/2020"</f>
        <v>25/02/2020</v>
      </c>
      <c r="B1613">
        <v>1</v>
      </c>
      <c r="C1613">
        <v>71000</v>
      </c>
      <c r="D1613">
        <v>144005</v>
      </c>
      <c r="E1613">
        <v>71000</v>
      </c>
      <c r="F1613">
        <v>71000</v>
      </c>
      <c r="G1613" s="1">
        <v>2.5000000000000001E-3</v>
      </c>
      <c r="H1613" s="1">
        <v>2.5000000000000001E-3</v>
      </c>
      <c r="I1613" s="1">
        <v>2.5000000000000001E-3</v>
      </c>
      <c r="J1613" s="1">
        <v>0.46560000000000001</v>
      </c>
    </row>
    <row r="1614" spans="1:10" x14ac:dyDescent="0.2">
      <c r="A1614" t="str">
        <f>"24/02/2020"</f>
        <v>24/02/2020</v>
      </c>
      <c r="B1614">
        <v>1</v>
      </c>
      <c r="C1614">
        <v>71000</v>
      </c>
      <c r="D1614">
        <v>159644</v>
      </c>
      <c r="E1614">
        <v>71000</v>
      </c>
      <c r="F1614">
        <v>71000</v>
      </c>
      <c r="G1614" s="1">
        <v>2.5000000000000001E-3</v>
      </c>
      <c r="H1614" s="1">
        <v>2.5000000000000001E-3</v>
      </c>
      <c r="I1614" s="1">
        <v>2.5000000000000001E-3</v>
      </c>
      <c r="J1614" s="1">
        <v>0.4133</v>
      </c>
    </row>
    <row r="1615" spans="1:10" x14ac:dyDescent="0.2">
      <c r="A1615" t="str">
        <f>"23/02/2020"</f>
        <v>23/02/2020</v>
      </c>
      <c r="B1615">
        <v>1</v>
      </c>
      <c r="C1615">
        <v>72000</v>
      </c>
      <c r="D1615">
        <v>168765</v>
      </c>
      <c r="E1615">
        <v>72000</v>
      </c>
      <c r="F1615">
        <v>72000</v>
      </c>
      <c r="G1615" s="1">
        <v>2.5000000000000001E-3</v>
      </c>
      <c r="H1615" s="1">
        <v>2.5000000000000001E-3</v>
      </c>
      <c r="I1615" s="1">
        <v>2.5000000000000001E-3</v>
      </c>
      <c r="J1615" s="1">
        <v>0.39500000000000002</v>
      </c>
    </row>
    <row r="1616" spans="1:10" x14ac:dyDescent="0.2">
      <c r="A1616" t="str">
        <f>"20/02/2020"</f>
        <v>20/02/2020</v>
      </c>
      <c r="B1616">
        <v>3</v>
      </c>
      <c r="C1616">
        <v>75000</v>
      </c>
      <c r="D1616">
        <v>193645</v>
      </c>
      <c r="E1616">
        <v>75000</v>
      </c>
      <c r="F1616">
        <v>75000</v>
      </c>
      <c r="G1616" s="1">
        <v>2.5000000000000001E-3</v>
      </c>
      <c r="H1616" s="1">
        <v>2.5000000000000001E-3</v>
      </c>
      <c r="I1616" s="1">
        <v>2.5000000000000001E-3</v>
      </c>
      <c r="J1616" s="1">
        <v>0.3548</v>
      </c>
    </row>
    <row r="1617" spans="1:10" x14ac:dyDescent="0.2">
      <c r="A1617" t="str">
        <f>"19/02/2020"</f>
        <v>19/02/2020</v>
      </c>
      <c r="B1617">
        <v>1</v>
      </c>
      <c r="C1617">
        <v>77000</v>
      </c>
      <c r="D1617">
        <v>197525</v>
      </c>
      <c r="E1617">
        <v>77000</v>
      </c>
      <c r="F1617">
        <v>77000</v>
      </c>
      <c r="G1617" s="1">
        <v>2.5000000000000001E-3</v>
      </c>
      <c r="H1617" s="1">
        <v>2.5000000000000001E-3</v>
      </c>
      <c r="I1617" s="1">
        <v>2.5000000000000001E-3</v>
      </c>
      <c r="J1617" s="1">
        <v>0.3594</v>
      </c>
    </row>
    <row r="1618" spans="1:10" x14ac:dyDescent="0.2">
      <c r="A1618" t="str">
        <f>"18/02/2020"</f>
        <v>18/02/2020</v>
      </c>
      <c r="B1618">
        <v>1</v>
      </c>
      <c r="C1618">
        <v>78000</v>
      </c>
      <c r="D1618">
        <v>199316</v>
      </c>
      <c r="E1618">
        <v>78000</v>
      </c>
      <c r="F1618">
        <v>78000</v>
      </c>
      <c r="G1618" s="1">
        <v>2.5000000000000001E-3</v>
      </c>
      <c r="H1618" s="1">
        <v>2.5000000000000001E-3</v>
      </c>
      <c r="I1618" s="1">
        <v>2.5000000000000001E-3</v>
      </c>
      <c r="J1618" s="1">
        <v>0.36159999999999998</v>
      </c>
    </row>
    <row r="1619" spans="1:10" x14ac:dyDescent="0.2">
      <c r="A1619" t="str">
        <f>"17/02/2020"</f>
        <v>17/02/2020</v>
      </c>
      <c r="B1619">
        <v>1</v>
      </c>
      <c r="C1619">
        <v>80000</v>
      </c>
      <c r="D1619">
        <v>201071</v>
      </c>
      <c r="E1619">
        <v>80000</v>
      </c>
      <c r="F1619">
        <v>80000</v>
      </c>
      <c r="G1619" s="1">
        <v>2.5000000000000001E-3</v>
      </c>
      <c r="H1619" s="1">
        <v>2.5000000000000001E-3</v>
      </c>
      <c r="I1619" s="1">
        <v>2.5000000000000001E-3</v>
      </c>
      <c r="J1619" s="1">
        <v>0.36559999999999998</v>
      </c>
    </row>
    <row r="1620" spans="1:10" x14ac:dyDescent="0.2">
      <c r="A1620" t="str">
        <f>"16/02/2020"</f>
        <v>16/02/2020</v>
      </c>
      <c r="B1620">
        <v>1</v>
      </c>
      <c r="C1620">
        <v>86000</v>
      </c>
      <c r="D1620">
        <v>210400</v>
      </c>
      <c r="E1620">
        <v>86000</v>
      </c>
      <c r="F1620">
        <v>86000</v>
      </c>
      <c r="G1620" s="1">
        <v>2.5000000000000001E-3</v>
      </c>
      <c r="H1620" s="1">
        <v>2.5000000000000001E-3</v>
      </c>
      <c r="I1620" s="1">
        <v>2.5000000000000001E-3</v>
      </c>
      <c r="J1620" s="1">
        <v>0.38119999999999998</v>
      </c>
    </row>
    <row r="1621" spans="1:10" x14ac:dyDescent="0.2">
      <c r="A1621" t="str">
        <f>"13/02/2020"</f>
        <v>13/02/2020</v>
      </c>
      <c r="B1621">
        <v>3</v>
      </c>
      <c r="C1621">
        <v>86000</v>
      </c>
      <c r="D1621">
        <v>202903</v>
      </c>
      <c r="E1621">
        <v>86000</v>
      </c>
      <c r="F1621">
        <v>86000</v>
      </c>
      <c r="G1621" s="1">
        <v>2.5000000000000001E-3</v>
      </c>
      <c r="H1621" s="1">
        <v>2.5000000000000001E-3</v>
      </c>
      <c r="I1621" s="1">
        <v>2.5000000000000001E-3</v>
      </c>
      <c r="J1621" s="1">
        <v>0.39200000000000002</v>
      </c>
    </row>
    <row r="1622" spans="1:10" x14ac:dyDescent="0.2">
      <c r="A1622" t="str">
        <f>"12/02/2020"</f>
        <v>12/02/2020</v>
      </c>
      <c r="B1622">
        <v>1</v>
      </c>
      <c r="C1622">
        <v>87000</v>
      </c>
      <c r="D1622">
        <v>200405</v>
      </c>
      <c r="E1622">
        <v>87000</v>
      </c>
      <c r="F1622">
        <v>87000</v>
      </c>
      <c r="G1622" s="1">
        <v>2.5000000000000001E-3</v>
      </c>
      <c r="H1622" s="1">
        <v>2.5000000000000001E-3</v>
      </c>
      <c r="I1622" s="1">
        <v>2.5000000000000001E-3</v>
      </c>
      <c r="J1622" s="1">
        <v>0.40389999999999998</v>
      </c>
    </row>
    <row r="1623" spans="1:10" x14ac:dyDescent="0.2">
      <c r="A1623" t="str">
        <f>"11/02/2020"</f>
        <v>11/02/2020</v>
      </c>
      <c r="B1623">
        <v>1</v>
      </c>
      <c r="C1623">
        <v>87000</v>
      </c>
      <c r="D1623">
        <v>200705</v>
      </c>
      <c r="E1623">
        <v>87000</v>
      </c>
      <c r="F1623">
        <v>87000</v>
      </c>
      <c r="G1623" s="1">
        <v>2.5000000000000001E-3</v>
      </c>
      <c r="H1623" s="1">
        <v>2.5000000000000001E-3</v>
      </c>
      <c r="I1623" s="1">
        <v>2.5000000000000001E-3</v>
      </c>
      <c r="J1623" s="1">
        <v>0.3997</v>
      </c>
    </row>
    <row r="1624" spans="1:10" x14ac:dyDescent="0.2">
      <c r="A1624" t="str">
        <f>"10/02/2020"</f>
        <v>10/02/2020</v>
      </c>
      <c r="B1624">
        <v>1</v>
      </c>
      <c r="C1624">
        <v>87000</v>
      </c>
      <c r="D1624">
        <v>200469</v>
      </c>
      <c r="E1624">
        <v>87000</v>
      </c>
      <c r="F1624">
        <v>87000</v>
      </c>
      <c r="G1624" s="1">
        <v>2.5000000000000001E-3</v>
      </c>
      <c r="H1624" s="1">
        <v>2.5000000000000001E-3</v>
      </c>
      <c r="I1624" s="1">
        <v>2.5000000000000001E-3</v>
      </c>
      <c r="J1624" s="1">
        <v>0.40039999999999998</v>
      </c>
    </row>
    <row r="1625" spans="1:10" x14ac:dyDescent="0.2">
      <c r="A1625" t="str">
        <f>"09/02/2020"</f>
        <v>09/02/2020</v>
      </c>
      <c r="B1625">
        <v>1</v>
      </c>
      <c r="C1625">
        <v>87000</v>
      </c>
      <c r="D1625">
        <v>202140</v>
      </c>
      <c r="E1625">
        <v>87000</v>
      </c>
      <c r="F1625">
        <v>87000</v>
      </c>
      <c r="G1625" s="1">
        <v>2.5000000000000001E-3</v>
      </c>
      <c r="H1625" s="1">
        <v>2.5000000000000001E-3</v>
      </c>
      <c r="I1625" s="1">
        <v>2.5000000000000001E-3</v>
      </c>
      <c r="J1625" s="1">
        <v>0.40239999999999998</v>
      </c>
    </row>
    <row r="1626" spans="1:10" x14ac:dyDescent="0.2">
      <c r="A1626" t="str">
        <f>"06/02/2020"</f>
        <v>06/02/2020</v>
      </c>
      <c r="B1626">
        <v>3</v>
      </c>
      <c r="C1626">
        <v>88000</v>
      </c>
      <c r="D1626">
        <v>203678</v>
      </c>
      <c r="E1626">
        <v>88000</v>
      </c>
      <c r="F1626">
        <v>88000</v>
      </c>
      <c r="G1626" s="1">
        <v>2.5000000000000001E-3</v>
      </c>
      <c r="H1626" s="1">
        <v>2.5000000000000001E-3</v>
      </c>
      <c r="I1626" s="1">
        <v>2.5000000000000001E-3</v>
      </c>
      <c r="J1626" s="1">
        <v>0.39860000000000001</v>
      </c>
    </row>
    <row r="1627" spans="1:10" x14ac:dyDescent="0.2">
      <c r="A1627" t="str">
        <f>"05/02/2020"</f>
        <v>05/02/2020</v>
      </c>
      <c r="B1627">
        <v>1</v>
      </c>
      <c r="C1627">
        <v>87000</v>
      </c>
      <c r="D1627">
        <v>203420</v>
      </c>
      <c r="E1627">
        <v>87000</v>
      </c>
      <c r="F1627">
        <v>87000</v>
      </c>
      <c r="G1627" s="1">
        <v>2.5000000000000001E-3</v>
      </c>
      <c r="H1627" s="1">
        <v>2.5000000000000001E-3</v>
      </c>
      <c r="I1627" s="1">
        <v>2.5000000000000001E-3</v>
      </c>
      <c r="J1627" s="1">
        <v>0.39350000000000002</v>
      </c>
    </row>
    <row r="1628" spans="1:10" x14ac:dyDescent="0.2">
      <c r="A1628" t="str">
        <f>"04/02/2020"</f>
        <v>04/02/2020</v>
      </c>
      <c r="B1628">
        <v>1</v>
      </c>
      <c r="C1628">
        <v>84000</v>
      </c>
      <c r="D1628">
        <v>200355</v>
      </c>
      <c r="E1628">
        <v>84000</v>
      </c>
      <c r="F1628">
        <v>84000</v>
      </c>
      <c r="G1628" s="1">
        <v>2.5000000000000001E-3</v>
      </c>
      <c r="H1628" s="1">
        <v>2.5000000000000001E-3</v>
      </c>
      <c r="I1628" s="1">
        <v>2.5000000000000001E-3</v>
      </c>
      <c r="J1628" s="1">
        <v>0.38640000000000002</v>
      </c>
    </row>
    <row r="1629" spans="1:10" x14ac:dyDescent="0.2">
      <c r="A1629" t="str">
        <f>"03/02/2020"</f>
        <v>03/02/2020</v>
      </c>
      <c r="B1629">
        <v>1</v>
      </c>
      <c r="C1629">
        <v>84000</v>
      </c>
      <c r="D1629">
        <v>206941</v>
      </c>
      <c r="E1629">
        <v>84000</v>
      </c>
      <c r="F1629">
        <v>84000</v>
      </c>
      <c r="G1629" s="1">
        <v>2.5000000000000001E-3</v>
      </c>
      <c r="H1629" s="1">
        <v>2.5000000000000001E-3</v>
      </c>
      <c r="I1629" s="1">
        <v>2.5000000000000001E-3</v>
      </c>
      <c r="J1629" s="1">
        <v>0.37869999999999998</v>
      </c>
    </row>
    <row r="1630" spans="1:10" x14ac:dyDescent="0.2">
      <c r="A1630" t="str">
        <f>"02/02/2020"</f>
        <v>02/02/2020</v>
      </c>
      <c r="B1630">
        <v>1</v>
      </c>
      <c r="C1630">
        <v>82000</v>
      </c>
      <c r="D1630">
        <v>204349</v>
      </c>
      <c r="E1630">
        <v>82000</v>
      </c>
      <c r="F1630">
        <v>82000</v>
      </c>
      <c r="G1630" s="1">
        <v>2.5000000000000001E-3</v>
      </c>
      <c r="H1630" s="1">
        <v>2.5000000000000001E-3</v>
      </c>
      <c r="I1630" s="1">
        <v>2.5000000000000001E-3</v>
      </c>
      <c r="J1630" s="1">
        <v>0.3705</v>
      </c>
    </row>
    <row r="1631" spans="1:10" x14ac:dyDescent="0.2">
      <c r="A1631" t="str">
        <f>"30/01/2020"</f>
        <v>30/01/2020</v>
      </c>
      <c r="B1631">
        <v>3</v>
      </c>
      <c r="C1631">
        <v>68000</v>
      </c>
      <c r="D1631">
        <v>179976</v>
      </c>
      <c r="E1631">
        <v>68000</v>
      </c>
      <c r="F1631">
        <v>68000</v>
      </c>
      <c r="G1631" s="1">
        <v>2.5000000000000001E-3</v>
      </c>
      <c r="H1631" s="1">
        <v>2.5000000000000001E-3</v>
      </c>
      <c r="I1631" s="1">
        <v>2.5000000000000001E-3</v>
      </c>
      <c r="J1631" s="1">
        <v>0.34300000000000003</v>
      </c>
    </row>
    <row r="1632" spans="1:10" x14ac:dyDescent="0.2">
      <c r="A1632" t="str">
        <f>"29/01/2020"</f>
        <v>29/01/2020</v>
      </c>
      <c r="B1632">
        <v>1</v>
      </c>
      <c r="C1632">
        <v>65000</v>
      </c>
      <c r="D1632">
        <v>161170</v>
      </c>
      <c r="E1632">
        <v>65000</v>
      </c>
      <c r="F1632">
        <v>65000</v>
      </c>
      <c r="G1632" s="1">
        <v>2.5000000000000001E-3</v>
      </c>
      <c r="H1632" s="1">
        <v>2.5000000000000001E-3</v>
      </c>
      <c r="I1632" s="1">
        <v>2.5000000000000001E-3</v>
      </c>
      <c r="J1632" s="1">
        <v>0.37180000000000002</v>
      </c>
    </row>
    <row r="1633" spans="1:10" x14ac:dyDescent="0.2">
      <c r="A1633" t="str">
        <f>"28/01/2020"</f>
        <v>28/01/2020</v>
      </c>
      <c r="B1633">
        <v>1</v>
      </c>
      <c r="C1633">
        <v>64000</v>
      </c>
      <c r="D1633">
        <v>168088</v>
      </c>
      <c r="E1633">
        <v>64000</v>
      </c>
      <c r="F1633">
        <v>64000</v>
      </c>
      <c r="G1633" s="1">
        <v>2.5000000000000001E-3</v>
      </c>
      <c r="H1633" s="1">
        <v>2.5000000000000001E-3</v>
      </c>
      <c r="I1633" s="1">
        <v>2.5000000000000001E-3</v>
      </c>
      <c r="J1633" s="1">
        <v>0.34410000000000002</v>
      </c>
    </row>
    <row r="1634" spans="1:10" x14ac:dyDescent="0.2">
      <c r="A1634" t="str">
        <f>"27/01/2020"</f>
        <v>27/01/2020</v>
      </c>
      <c r="B1634">
        <v>1</v>
      </c>
      <c r="C1634">
        <v>62000</v>
      </c>
      <c r="D1634">
        <v>153100</v>
      </c>
      <c r="E1634">
        <v>62000</v>
      </c>
      <c r="F1634">
        <v>62000</v>
      </c>
      <c r="G1634" s="1">
        <v>2.5000000000000001E-3</v>
      </c>
      <c r="H1634" s="1">
        <v>2.5000000000000001E-3</v>
      </c>
      <c r="I1634" s="1">
        <v>2.5000000000000001E-3</v>
      </c>
      <c r="J1634" s="1">
        <v>0.3674</v>
      </c>
    </row>
    <row r="1635" spans="1:10" x14ac:dyDescent="0.2">
      <c r="A1635" t="str">
        <f>"26/01/2020"</f>
        <v>26/01/2020</v>
      </c>
      <c r="B1635">
        <v>1</v>
      </c>
      <c r="C1635">
        <v>63000</v>
      </c>
      <c r="D1635">
        <v>149040</v>
      </c>
      <c r="E1635">
        <v>63000</v>
      </c>
      <c r="F1635">
        <v>63000</v>
      </c>
      <c r="G1635" s="1">
        <v>2.5000000000000001E-3</v>
      </c>
      <c r="H1635" s="1">
        <v>2.5000000000000001E-3</v>
      </c>
      <c r="I1635" s="1">
        <v>2.5000000000000001E-3</v>
      </c>
      <c r="J1635" s="1">
        <v>0.38740000000000002</v>
      </c>
    </row>
    <row r="1636" spans="1:10" x14ac:dyDescent="0.2">
      <c r="A1636" t="str">
        <f>"23/01/2020"</f>
        <v>23/01/2020</v>
      </c>
      <c r="B1636">
        <v>3</v>
      </c>
      <c r="C1636">
        <v>64000</v>
      </c>
      <c r="D1636">
        <v>147371</v>
      </c>
      <c r="E1636">
        <v>64000</v>
      </c>
      <c r="F1636">
        <v>64000</v>
      </c>
      <c r="G1636" s="1">
        <v>2.5000000000000001E-3</v>
      </c>
      <c r="H1636" s="1">
        <v>2.5000000000000001E-3</v>
      </c>
      <c r="I1636" s="1">
        <v>2.5000000000000001E-3</v>
      </c>
      <c r="J1636" s="1">
        <v>0.39560000000000001</v>
      </c>
    </row>
    <row r="1637" spans="1:10" x14ac:dyDescent="0.2">
      <c r="A1637" t="str">
        <f>"22/01/2020"</f>
        <v>22/01/2020</v>
      </c>
      <c r="B1637">
        <v>1</v>
      </c>
      <c r="C1637">
        <v>65000</v>
      </c>
      <c r="D1637">
        <v>162090</v>
      </c>
      <c r="E1637">
        <v>65000</v>
      </c>
      <c r="F1637">
        <v>65000</v>
      </c>
      <c r="G1637" s="1">
        <v>2.5000000000000001E-3</v>
      </c>
      <c r="H1637" s="1">
        <v>2.5000000000000001E-3</v>
      </c>
      <c r="I1637" s="1">
        <v>2.5000000000000001E-3</v>
      </c>
      <c r="J1637" s="1">
        <v>0.37169999999999997</v>
      </c>
    </row>
    <row r="1638" spans="1:10" x14ac:dyDescent="0.2">
      <c r="A1638" t="str">
        <f>"21/01/2020"</f>
        <v>21/01/2020</v>
      </c>
      <c r="B1638">
        <v>1</v>
      </c>
      <c r="C1638">
        <v>68000</v>
      </c>
      <c r="D1638">
        <v>181765</v>
      </c>
      <c r="E1638">
        <v>68000</v>
      </c>
      <c r="F1638">
        <v>68000</v>
      </c>
      <c r="G1638" s="1">
        <v>2.5000000000000001E-3</v>
      </c>
      <c r="H1638" s="1">
        <v>2.5000000000000001E-3</v>
      </c>
      <c r="I1638" s="1">
        <v>2.5000000000000001E-3</v>
      </c>
      <c r="J1638" s="1">
        <v>0.34139999999999998</v>
      </c>
    </row>
    <row r="1639" spans="1:10" x14ac:dyDescent="0.2">
      <c r="A1639" t="str">
        <f>"20/01/2020"</f>
        <v>20/01/2020</v>
      </c>
      <c r="B1639">
        <v>1</v>
      </c>
      <c r="C1639">
        <v>70000</v>
      </c>
      <c r="D1639">
        <v>190370</v>
      </c>
      <c r="E1639">
        <v>70000</v>
      </c>
      <c r="F1639">
        <v>70000</v>
      </c>
      <c r="G1639" s="1">
        <v>2.5000000000000001E-3</v>
      </c>
      <c r="H1639" s="1">
        <v>2.5000000000000001E-3</v>
      </c>
      <c r="I1639" s="1">
        <v>2.5000000000000001E-3</v>
      </c>
      <c r="J1639" s="1">
        <v>0.33679999999999999</v>
      </c>
    </row>
    <row r="1640" spans="1:10" x14ac:dyDescent="0.2">
      <c r="A1640" t="str">
        <f>"19/01/2020"</f>
        <v>19/01/2020</v>
      </c>
      <c r="B1640">
        <v>1</v>
      </c>
      <c r="C1640">
        <v>72000</v>
      </c>
      <c r="D1640">
        <v>199005</v>
      </c>
      <c r="E1640">
        <v>72000</v>
      </c>
      <c r="F1640">
        <v>72000</v>
      </c>
      <c r="G1640" s="1">
        <v>2.5000000000000001E-3</v>
      </c>
      <c r="H1640" s="1">
        <v>2.5000000000000001E-3</v>
      </c>
      <c r="I1640" s="1">
        <v>2.5000000000000001E-3</v>
      </c>
      <c r="J1640" s="1">
        <v>0.33160000000000001</v>
      </c>
    </row>
    <row r="1641" spans="1:10" x14ac:dyDescent="0.2">
      <c r="A1641" t="str">
        <f>"16/01/2020"</f>
        <v>16/01/2020</v>
      </c>
      <c r="B1641">
        <v>3</v>
      </c>
      <c r="C1641">
        <v>76000</v>
      </c>
      <c r="D1641">
        <v>215332</v>
      </c>
      <c r="E1641">
        <v>76000</v>
      </c>
      <c r="F1641">
        <v>76000</v>
      </c>
      <c r="G1641" s="1">
        <v>2.5000000000000001E-3</v>
      </c>
      <c r="H1641" s="1">
        <v>2.5000000000000001E-3</v>
      </c>
      <c r="I1641" s="1">
        <v>2.5000000000000001E-3</v>
      </c>
      <c r="J1641" s="1">
        <v>0.3216</v>
      </c>
    </row>
    <row r="1642" spans="1:10" x14ac:dyDescent="0.2">
      <c r="A1642" t="str">
        <f>"15/01/2020"</f>
        <v>15/01/2020</v>
      </c>
      <c r="B1642">
        <v>1</v>
      </c>
      <c r="C1642">
        <v>85000</v>
      </c>
      <c r="D1642">
        <v>251480</v>
      </c>
      <c r="E1642">
        <v>85000</v>
      </c>
      <c r="F1642">
        <v>85000</v>
      </c>
      <c r="G1642" s="1">
        <v>2.5000000000000001E-3</v>
      </c>
      <c r="H1642" s="1">
        <v>2.5000000000000001E-3</v>
      </c>
      <c r="I1642" s="1">
        <v>2.5000000000000001E-3</v>
      </c>
      <c r="J1642" s="1">
        <v>0.29849999999999999</v>
      </c>
    </row>
    <row r="1643" spans="1:10" x14ac:dyDescent="0.2">
      <c r="A1643" t="str">
        <f>"14/01/2020"</f>
        <v>14/01/2020</v>
      </c>
      <c r="B1643">
        <v>1</v>
      </c>
      <c r="C1643">
        <v>85000</v>
      </c>
      <c r="D1643">
        <v>245490</v>
      </c>
      <c r="E1643">
        <v>85000</v>
      </c>
      <c r="F1643">
        <v>85000</v>
      </c>
      <c r="G1643" s="1">
        <v>2.5000000000000001E-3</v>
      </c>
      <c r="H1643" s="1">
        <v>2.5000000000000001E-3</v>
      </c>
      <c r="I1643" s="1">
        <v>2.5000000000000001E-3</v>
      </c>
      <c r="J1643" s="1">
        <v>0.3004</v>
      </c>
    </row>
    <row r="1644" spans="1:10" x14ac:dyDescent="0.2">
      <c r="A1644" t="str">
        <f>"13/01/2020"</f>
        <v>13/01/2020</v>
      </c>
      <c r="B1644">
        <v>1</v>
      </c>
      <c r="C1644">
        <v>86000</v>
      </c>
      <c r="D1644">
        <v>236405</v>
      </c>
      <c r="E1644">
        <v>86000</v>
      </c>
      <c r="F1644">
        <v>86000</v>
      </c>
      <c r="G1644" s="1">
        <v>2.5000000000000001E-3</v>
      </c>
      <c r="H1644" s="1">
        <v>2.5000000000000001E-3</v>
      </c>
      <c r="I1644" s="1">
        <v>2.5000000000000001E-3</v>
      </c>
      <c r="J1644" s="1">
        <v>0.33289999999999997</v>
      </c>
    </row>
    <row r="1645" spans="1:10" x14ac:dyDescent="0.2">
      <c r="A1645" t="str">
        <f>"12/01/2020"</f>
        <v>12/01/2020</v>
      </c>
      <c r="B1645">
        <v>1</v>
      </c>
      <c r="C1645">
        <v>85000</v>
      </c>
      <c r="D1645">
        <v>203202</v>
      </c>
      <c r="E1645">
        <v>85000</v>
      </c>
      <c r="F1645">
        <v>85000</v>
      </c>
      <c r="G1645" s="1">
        <v>2.5000000000000001E-3</v>
      </c>
      <c r="H1645" s="1">
        <v>2.5000000000000001E-3</v>
      </c>
      <c r="I1645" s="1">
        <v>2.5000000000000001E-3</v>
      </c>
      <c r="J1645" s="1">
        <v>0.38929999999999998</v>
      </c>
    </row>
    <row r="1646" spans="1:10" x14ac:dyDescent="0.2">
      <c r="A1646" t="str">
        <f>"09/01/2020"</f>
        <v>09/01/2020</v>
      </c>
      <c r="B1646">
        <v>3</v>
      </c>
      <c r="C1646">
        <v>84000</v>
      </c>
      <c r="D1646">
        <v>144405</v>
      </c>
      <c r="E1646">
        <v>84000</v>
      </c>
      <c r="F1646">
        <v>84000</v>
      </c>
      <c r="G1646" s="1">
        <v>2.5000000000000001E-3</v>
      </c>
      <c r="H1646" s="1">
        <v>2.5000000000000001E-3</v>
      </c>
      <c r="I1646" s="1">
        <v>2.5000000000000001E-3</v>
      </c>
      <c r="J1646" s="1">
        <v>0.54210000000000003</v>
      </c>
    </row>
    <row r="1647" spans="1:10" x14ac:dyDescent="0.2">
      <c r="A1647" t="str">
        <f>"08/01/2020"</f>
        <v>08/01/2020</v>
      </c>
      <c r="B1647">
        <v>1</v>
      </c>
      <c r="C1647">
        <v>84000</v>
      </c>
      <c r="D1647">
        <v>79236</v>
      </c>
      <c r="E1647">
        <v>79236</v>
      </c>
      <c r="F1647">
        <v>79236</v>
      </c>
      <c r="G1647" s="1">
        <v>2.5000000000000001E-3</v>
      </c>
      <c r="H1647" s="1">
        <v>2.5000000000000001E-3</v>
      </c>
      <c r="I1647" s="1">
        <v>2.5000000000000001E-3</v>
      </c>
      <c r="J1647" s="1">
        <v>1</v>
      </c>
    </row>
    <row r="1648" spans="1:10" x14ac:dyDescent="0.2">
      <c r="A1648" t="str">
        <f>"07/01/2020"</f>
        <v>07/01/2020</v>
      </c>
      <c r="B1648">
        <v>1</v>
      </c>
      <c r="C1648">
        <v>83000</v>
      </c>
      <c r="D1648">
        <v>217560</v>
      </c>
      <c r="E1648">
        <v>83000</v>
      </c>
      <c r="F1648">
        <v>83000</v>
      </c>
      <c r="G1648" s="1">
        <v>2.5000000000000001E-3</v>
      </c>
      <c r="H1648" s="1">
        <v>2.5000000000000001E-3</v>
      </c>
      <c r="I1648" s="1">
        <v>2.5000000000000001E-3</v>
      </c>
      <c r="J1648" s="1">
        <v>0.33079999999999998</v>
      </c>
    </row>
    <row r="1649" spans="1:10" x14ac:dyDescent="0.2">
      <c r="A1649" t="str">
        <f>"06/01/2020"</f>
        <v>06/01/2020</v>
      </c>
      <c r="B1649">
        <v>1</v>
      </c>
      <c r="C1649">
        <v>84000</v>
      </c>
      <c r="D1649">
        <v>232945</v>
      </c>
      <c r="E1649">
        <v>84000</v>
      </c>
      <c r="F1649">
        <v>84000</v>
      </c>
      <c r="G1649" s="1">
        <v>2.5000000000000001E-3</v>
      </c>
      <c r="H1649" s="1">
        <v>2.5000000000000001E-3</v>
      </c>
      <c r="I1649" s="1">
        <v>2.5000000000000001E-3</v>
      </c>
      <c r="J1649" s="1">
        <v>0.32119999999999999</v>
      </c>
    </row>
    <row r="1650" spans="1:10" x14ac:dyDescent="0.2">
      <c r="A1650" t="str">
        <f>"05/01/2020"</f>
        <v>05/01/2020</v>
      </c>
      <c r="B1650">
        <v>1</v>
      </c>
      <c r="C1650">
        <v>83000</v>
      </c>
      <c r="D1650">
        <v>214130</v>
      </c>
      <c r="E1650">
        <v>83000</v>
      </c>
      <c r="F1650">
        <v>83000</v>
      </c>
      <c r="G1650" s="1">
        <v>2.5000000000000001E-3</v>
      </c>
      <c r="H1650" s="1">
        <v>2.5000000000000001E-3</v>
      </c>
      <c r="I1650" s="1">
        <v>2.5000000000000001E-3</v>
      </c>
      <c r="J1650" s="1">
        <v>0.35410000000000003</v>
      </c>
    </row>
    <row r="1651" spans="1:10" x14ac:dyDescent="0.2">
      <c r="A1651" t="str">
        <f>"02/01/2020"</f>
        <v>02/01/2020</v>
      </c>
      <c r="B1651">
        <v>3</v>
      </c>
      <c r="C1651">
        <v>84000</v>
      </c>
      <c r="D1651">
        <v>217230</v>
      </c>
      <c r="E1651">
        <v>84000</v>
      </c>
      <c r="F1651">
        <v>84000</v>
      </c>
      <c r="G1651" s="1">
        <v>2.5000000000000001E-3</v>
      </c>
      <c r="H1651" s="1">
        <v>2.5000000000000001E-3</v>
      </c>
      <c r="I1651" s="1">
        <v>2.5000000000000001E-3</v>
      </c>
      <c r="J1651" s="1">
        <v>0.34639999999999999</v>
      </c>
    </row>
    <row r="1652" spans="1:10" x14ac:dyDescent="0.2">
      <c r="A1652" t="str">
        <f>"01/01/2020"</f>
        <v>01/01/2020</v>
      </c>
      <c r="B1652">
        <v>1</v>
      </c>
      <c r="C1652">
        <v>83000</v>
      </c>
      <c r="D1652">
        <v>227010</v>
      </c>
      <c r="E1652">
        <v>83000</v>
      </c>
      <c r="F1652">
        <v>83000</v>
      </c>
      <c r="G1652" s="1">
        <v>2.5000000000000001E-3</v>
      </c>
      <c r="H1652" s="1">
        <v>2.5000000000000001E-3</v>
      </c>
      <c r="I1652" s="1">
        <v>2.5000000000000001E-3</v>
      </c>
      <c r="J1652" s="1">
        <v>0.32150000000000001</v>
      </c>
    </row>
    <row r="1653" spans="1:10" x14ac:dyDescent="0.2">
      <c r="A1653" t="str">
        <f>"31/12/2019"</f>
        <v>31/12/2019</v>
      </c>
      <c r="B1653">
        <v>1</v>
      </c>
      <c r="C1653">
        <v>79000</v>
      </c>
      <c r="D1653">
        <v>214804</v>
      </c>
      <c r="E1653">
        <v>79000</v>
      </c>
      <c r="F1653">
        <v>79000</v>
      </c>
      <c r="G1653" s="1">
        <v>2.5000000000000001E-3</v>
      </c>
      <c r="H1653" s="1">
        <v>2.5000000000000001E-3</v>
      </c>
      <c r="I1653" s="1">
        <v>2.5000000000000001E-3</v>
      </c>
      <c r="J1653" s="1">
        <v>0.31769999999999998</v>
      </c>
    </row>
    <row r="1654" spans="1:10" x14ac:dyDescent="0.2">
      <c r="A1654" t="str">
        <f>"30/12/2019"</f>
        <v>30/12/2019</v>
      </c>
      <c r="B1654">
        <v>1</v>
      </c>
      <c r="C1654">
        <v>70000</v>
      </c>
      <c r="D1654">
        <v>191380</v>
      </c>
      <c r="E1654">
        <v>70000</v>
      </c>
      <c r="F1654">
        <v>70000</v>
      </c>
      <c r="G1654" s="1">
        <v>2.5000000000000001E-3</v>
      </c>
      <c r="H1654" s="1">
        <v>2.5000000000000001E-3</v>
      </c>
      <c r="I1654" s="1">
        <v>2.5000000000000001E-3</v>
      </c>
      <c r="J1654" s="1">
        <v>0.31879999999999997</v>
      </c>
    </row>
    <row r="1655" spans="1:10" x14ac:dyDescent="0.2">
      <c r="A1655" t="str">
        <f>"29/12/2019"</f>
        <v>29/12/2019</v>
      </c>
      <c r="B1655">
        <v>1</v>
      </c>
      <c r="C1655">
        <v>66000</v>
      </c>
      <c r="D1655">
        <v>156225</v>
      </c>
      <c r="E1655">
        <v>66000</v>
      </c>
      <c r="F1655">
        <v>66000</v>
      </c>
      <c r="G1655" s="1">
        <v>2.5000000000000001E-3</v>
      </c>
      <c r="H1655" s="1">
        <v>2.5000000000000001E-3</v>
      </c>
      <c r="I1655" s="1">
        <v>2.5000000000000001E-3</v>
      </c>
      <c r="J1655" s="1">
        <v>0.38369999999999999</v>
      </c>
    </row>
    <row r="1656" spans="1:10" x14ac:dyDescent="0.2">
      <c r="A1656" t="str">
        <f>"26/12/2019"</f>
        <v>26/12/2019</v>
      </c>
      <c r="B1656">
        <v>3</v>
      </c>
      <c r="C1656">
        <v>67000</v>
      </c>
      <c r="D1656">
        <v>144028</v>
      </c>
      <c r="E1656">
        <v>67000</v>
      </c>
      <c r="F1656">
        <v>67000</v>
      </c>
      <c r="G1656" s="1">
        <v>2.5000000000000001E-3</v>
      </c>
      <c r="H1656" s="1">
        <v>2.5000000000000001E-3</v>
      </c>
      <c r="I1656" s="1">
        <v>2.5000000000000001E-3</v>
      </c>
      <c r="J1656" s="1">
        <v>0.41820000000000002</v>
      </c>
    </row>
    <row r="1657" spans="1:10" x14ac:dyDescent="0.2">
      <c r="A1657" t="str">
        <f>"25/12/2019"</f>
        <v>25/12/2019</v>
      </c>
      <c r="B1657">
        <v>1</v>
      </c>
      <c r="C1657">
        <v>63000</v>
      </c>
      <c r="D1657">
        <v>125950</v>
      </c>
      <c r="E1657">
        <v>63000</v>
      </c>
      <c r="F1657">
        <v>63000</v>
      </c>
      <c r="G1657" s="1">
        <v>2.5000000000000001E-3</v>
      </c>
      <c r="H1657" s="1">
        <v>2.5000000000000001E-3</v>
      </c>
      <c r="I1657" s="1">
        <v>2.5000000000000001E-3</v>
      </c>
      <c r="J1657" s="1">
        <v>0.44769999999999999</v>
      </c>
    </row>
    <row r="1658" spans="1:10" x14ac:dyDescent="0.2">
      <c r="A1658" t="str">
        <f>"24/12/2019"</f>
        <v>24/12/2019</v>
      </c>
      <c r="B1658">
        <v>1</v>
      </c>
      <c r="C1658">
        <v>63000</v>
      </c>
      <c r="D1658">
        <v>125350</v>
      </c>
      <c r="E1658">
        <v>63000</v>
      </c>
      <c r="F1658">
        <v>63000</v>
      </c>
      <c r="G1658" s="1">
        <v>2.5000000000000001E-3</v>
      </c>
      <c r="H1658" s="1">
        <v>2.5000000000000001E-3</v>
      </c>
      <c r="I1658" s="1">
        <v>2.5000000000000001E-3</v>
      </c>
      <c r="J1658" s="1">
        <v>0.44379999999999997</v>
      </c>
    </row>
    <row r="1659" spans="1:10" x14ac:dyDescent="0.2">
      <c r="A1659" t="str">
        <f>"23/12/2019"</f>
        <v>23/12/2019</v>
      </c>
      <c r="B1659">
        <v>1</v>
      </c>
      <c r="C1659">
        <v>65000</v>
      </c>
      <c r="D1659">
        <v>127617</v>
      </c>
      <c r="E1659">
        <v>65000</v>
      </c>
      <c r="F1659">
        <v>65000</v>
      </c>
      <c r="G1659" s="1">
        <v>2.5000000000000001E-3</v>
      </c>
      <c r="H1659" s="1">
        <v>2.5000000000000001E-3</v>
      </c>
      <c r="I1659" s="1">
        <v>2.5000000000000001E-3</v>
      </c>
      <c r="J1659" s="1">
        <v>0.44850000000000001</v>
      </c>
    </row>
    <row r="1660" spans="1:10" x14ac:dyDescent="0.2">
      <c r="A1660" t="str">
        <f>"22/12/2019"</f>
        <v>22/12/2019</v>
      </c>
      <c r="B1660">
        <v>1</v>
      </c>
      <c r="C1660">
        <v>68000</v>
      </c>
      <c r="D1660">
        <v>127700</v>
      </c>
      <c r="E1660">
        <v>68000</v>
      </c>
      <c r="F1660">
        <v>68000</v>
      </c>
      <c r="G1660" s="1">
        <v>2.5000000000000001E-3</v>
      </c>
      <c r="H1660" s="1">
        <v>2.5000000000000001E-3</v>
      </c>
      <c r="I1660" s="1">
        <v>2.5000000000000001E-3</v>
      </c>
      <c r="J1660" s="1">
        <v>0.47220000000000001</v>
      </c>
    </row>
    <row r="1661" spans="1:10" x14ac:dyDescent="0.2">
      <c r="A1661" t="str">
        <f>"19/12/2019"</f>
        <v>19/12/2019</v>
      </c>
      <c r="B1661">
        <v>3</v>
      </c>
      <c r="C1661">
        <v>67000</v>
      </c>
      <c r="D1661">
        <v>122481</v>
      </c>
      <c r="E1661">
        <v>67000</v>
      </c>
      <c r="F1661">
        <v>67000</v>
      </c>
      <c r="G1661" s="1">
        <v>2.5000000000000001E-3</v>
      </c>
      <c r="H1661" s="1">
        <v>2.5000000000000001E-3</v>
      </c>
      <c r="I1661" s="1">
        <v>2.5000000000000001E-3</v>
      </c>
      <c r="J1661" s="1">
        <v>0.47970000000000002</v>
      </c>
    </row>
    <row r="1662" spans="1:10" x14ac:dyDescent="0.2">
      <c r="A1662" t="str">
        <f>"18/12/2019"</f>
        <v>18/12/2019</v>
      </c>
      <c r="B1662">
        <v>1</v>
      </c>
      <c r="C1662">
        <v>69000</v>
      </c>
      <c r="D1662">
        <v>140543</v>
      </c>
      <c r="E1662">
        <v>69000</v>
      </c>
      <c r="F1662">
        <v>69000</v>
      </c>
      <c r="G1662" s="1">
        <v>2.5000000000000001E-3</v>
      </c>
      <c r="H1662" s="1">
        <v>2.5000000000000001E-3</v>
      </c>
      <c r="I1662" s="1">
        <v>2.5000000000000001E-3</v>
      </c>
      <c r="J1662" s="1">
        <v>0.43409999999999999</v>
      </c>
    </row>
    <row r="1663" spans="1:10" x14ac:dyDescent="0.2">
      <c r="A1663" t="str">
        <f>"17/12/2019"</f>
        <v>17/12/2019</v>
      </c>
      <c r="B1663">
        <v>1</v>
      </c>
      <c r="C1663">
        <v>69000</v>
      </c>
      <c r="D1663">
        <v>141869</v>
      </c>
      <c r="E1663">
        <v>69000</v>
      </c>
      <c r="F1663">
        <v>69000</v>
      </c>
      <c r="G1663" s="1">
        <v>2.5000000000000001E-3</v>
      </c>
      <c r="H1663" s="1">
        <v>2.5000000000000001E-3</v>
      </c>
      <c r="I1663" s="1">
        <v>2.5000000000000001E-3</v>
      </c>
      <c r="J1663" s="1">
        <v>0.43330000000000002</v>
      </c>
    </row>
    <row r="1664" spans="1:10" x14ac:dyDescent="0.2">
      <c r="A1664" t="str">
        <f>"16/12/2019"</f>
        <v>16/12/2019</v>
      </c>
      <c r="B1664">
        <v>1</v>
      </c>
      <c r="C1664">
        <v>69000</v>
      </c>
      <c r="D1664">
        <v>149231</v>
      </c>
      <c r="E1664">
        <v>69000</v>
      </c>
      <c r="F1664">
        <v>69000</v>
      </c>
      <c r="G1664" s="1">
        <v>2.5000000000000001E-3</v>
      </c>
      <c r="H1664" s="1">
        <v>2.5000000000000001E-3</v>
      </c>
      <c r="I1664" s="1">
        <v>2.5000000000000001E-3</v>
      </c>
      <c r="J1664" s="1">
        <v>0.41189999999999999</v>
      </c>
    </row>
    <row r="1665" spans="1:10" x14ac:dyDescent="0.2">
      <c r="A1665" t="str">
        <f>"15/12/2019"</f>
        <v>15/12/2019</v>
      </c>
      <c r="B1665">
        <v>1</v>
      </c>
      <c r="C1665">
        <v>75000</v>
      </c>
      <c r="D1665">
        <v>165560</v>
      </c>
      <c r="E1665">
        <v>75000</v>
      </c>
      <c r="F1665">
        <v>75000</v>
      </c>
      <c r="G1665" s="1">
        <v>2.5000000000000001E-3</v>
      </c>
      <c r="H1665" s="1">
        <v>2.5000000000000001E-3</v>
      </c>
      <c r="I1665" s="1">
        <v>2.5000000000000001E-3</v>
      </c>
      <c r="J1665" s="1">
        <v>0.41270000000000001</v>
      </c>
    </row>
    <row r="1666" spans="1:10" x14ac:dyDescent="0.2">
      <c r="A1666" t="str">
        <f>"12/12/2019"</f>
        <v>12/12/2019</v>
      </c>
      <c r="B1666">
        <v>3</v>
      </c>
      <c r="C1666">
        <v>75000</v>
      </c>
      <c r="D1666">
        <v>165739</v>
      </c>
      <c r="E1666">
        <v>75000</v>
      </c>
      <c r="F1666">
        <v>75000</v>
      </c>
      <c r="G1666" s="1">
        <v>2.5000000000000001E-3</v>
      </c>
      <c r="H1666" s="1">
        <v>2.5000000000000001E-3</v>
      </c>
      <c r="I1666" s="1">
        <v>2.5000000000000001E-3</v>
      </c>
      <c r="J1666" s="1">
        <v>0.40639999999999998</v>
      </c>
    </row>
    <row r="1667" spans="1:10" x14ac:dyDescent="0.2">
      <c r="A1667" t="str">
        <f>"11/12/2019"</f>
        <v>11/12/2019</v>
      </c>
      <c r="B1667">
        <v>1</v>
      </c>
      <c r="C1667">
        <v>74000</v>
      </c>
      <c r="D1667">
        <v>153835</v>
      </c>
      <c r="E1667">
        <v>74000</v>
      </c>
      <c r="F1667">
        <v>74000</v>
      </c>
      <c r="G1667" s="1">
        <v>2.5000000000000001E-3</v>
      </c>
      <c r="H1667" s="1">
        <v>2.5000000000000001E-3</v>
      </c>
      <c r="I1667" s="1">
        <v>2.5000000000000001E-3</v>
      </c>
      <c r="J1667" s="1">
        <v>0.42920000000000003</v>
      </c>
    </row>
    <row r="1668" spans="1:10" x14ac:dyDescent="0.2">
      <c r="A1668" t="str">
        <f>"10/12/2019"</f>
        <v>10/12/2019</v>
      </c>
      <c r="B1668">
        <v>1</v>
      </c>
      <c r="C1668">
        <v>74000</v>
      </c>
      <c r="D1668">
        <v>170349</v>
      </c>
      <c r="E1668">
        <v>74000</v>
      </c>
      <c r="F1668">
        <v>74000</v>
      </c>
      <c r="G1668" s="1">
        <v>2.5000000000000001E-3</v>
      </c>
      <c r="H1668" s="1">
        <v>2.5000000000000001E-3</v>
      </c>
      <c r="I1668" s="1">
        <v>2.5000000000000001E-3</v>
      </c>
      <c r="J1668" s="1">
        <v>0.38150000000000001</v>
      </c>
    </row>
    <row r="1669" spans="1:10" x14ac:dyDescent="0.2">
      <c r="A1669" t="str">
        <f>"09/12/2019"</f>
        <v>09/12/2019</v>
      </c>
      <c r="B1669">
        <v>1</v>
      </c>
      <c r="C1669">
        <v>74000</v>
      </c>
      <c r="D1669">
        <v>181004</v>
      </c>
      <c r="E1669">
        <v>74000</v>
      </c>
      <c r="F1669">
        <v>74000</v>
      </c>
      <c r="G1669" s="1">
        <v>2.5000000000000001E-3</v>
      </c>
      <c r="H1669" s="1">
        <v>2.5000000000000001E-3</v>
      </c>
      <c r="I1669" s="1">
        <v>2.5000000000000001E-3</v>
      </c>
      <c r="J1669" s="1">
        <v>0.36380000000000001</v>
      </c>
    </row>
    <row r="1670" spans="1:10" x14ac:dyDescent="0.2">
      <c r="A1670" t="str">
        <f>"08/12/2019"</f>
        <v>08/12/2019</v>
      </c>
      <c r="B1670">
        <v>1</v>
      </c>
      <c r="C1670">
        <v>74000</v>
      </c>
      <c r="D1670">
        <v>200810</v>
      </c>
      <c r="E1670">
        <v>74000</v>
      </c>
      <c r="F1670">
        <v>74000</v>
      </c>
      <c r="G1670" s="1">
        <v>2.5000000000000001E-3</v>
      </c>
      <c r="H1670" s="1">
        <v>2.5000000000000001E-3</v>
      </c>
      <c r="I1670" s="1">
        <v>2.5000000000000001E-3</v>
      </c>
      <c r="J1670" s="1">
        <v>0.33379999999999999</v>
      </c>
    </row>
    <row r="1671" spans="1:10" x14ac:dyDescent="0.2">
      <c r="A1671" t="str">
        <f>"05/12/2019"</f>
        <v>05/12/2019</v>
      </c>
      <c r="B1671">
        <v>3</v>
      </c>
      <c r="C1671">
        <v>74000</v>
      </c>
      <c r="D1671">
        <v>224792</v>
      </c>
      <c r="E1671">
        <v>74000</v>
      </c>
      <c r="F1671">
        <v>74000</v>
      </c>
      <c r="G1671" s="1">
        <v>2.5000000000000001E-3</v>
      </c>
      <c r="H1671" s="1">
        <v>2.5000000000000001E-3</v>
      </c>
      <c r="I1671" s="1">
        <v>2.5000000000000001E-3</v>
      </c>
      <c r="J1671" s="1">
        <v>0.2893</v>
      </c>
    </row>
    <row r="1672" spans="1:10" x14ac:dyDescent="0.2">
      <c r="A1672" t="str">
        <f>"04/12/2019"</f>
        <v>04/12/2019</v>
      </c>
      <c r="B1672">
        <v>1</v>
      </c>
      <c r="C1672">
        <v>72000</v>
      </c>
      <c r="D1672">
        <v>230767</v>
      </c>
      <c r="E1672">
        <v>72000</v>
      </c>
      <c r="F1672">
        <v>72000</v>
      </c>
      <c r="G1672" s="1">
        <v>2.5000000000000001E-3</v>
      </c>
      <c r="H1672" s="1">
        <v>2.5000000000000001E-3</v>
      </c>
      <c r="I1672" s="1">
        <v>2.5000000000000001E-3</v>
      </c>
      <c r="J1672" s="1">
        <v>0.25719999999999998</v>
      </c>
    </row>
    <row r="1673" spans="1:10" x14ac:dyDescent="0.2">
      <c r="A1673" t="str">
        <f>"03/12/2019"</f>
        <v>03/12/2019</v>
      </c>
      <c r="B1673">
        <v>1</v>
      </c>
      <c r="C1673">
        <v>71000</v>
      </c>
      <c r="D1673">
        <v>210826</v>
      </c>
      <c r="E1673">
        <v>71000</v>
      </c>
      <c r="F1673">
        <v>71000</v>
      </c>
      <c r="G1673" s="1">
        <v>2.5000000000000001E-3</v>
      </c>
      <c r="H1673" s="1">
        <v>2.5000000000000001E-3</v>
      </c>
      <c r="I1673" s="1">
        <v>2.5000000000000001E-3</v>
      </c>
      <c r="J1673" s="1">
        <v>0.2893</v>
      </c>
    </row>
    <row r="1674" spans="1:10" x14ac:dyDescent="0.2">
      <c r="A1674" t="str">
        <f>"02/12/2019"</f>
        <v>02/12/2019</v>
      </c>
      <c r="B1674">
        <v>1</v>
      </c>
      <c r="C1674">
        <v>71000</v>
      </c>
      <c r="D1674">
        <v>182003</v>
      </c>
      <c r="E1674">
        <v>71000</v>
      </c>
      <c r="F1674">
        <v>71000</v>
      </c>
      <c r="G1674" s="1">
        <v>2.5000000000000001E-3</v>
      </c>
      <c r="H1674" s="1">
        <v>2.5000000000000001E-3</v>
      </c>
      <c r="I1674" s="1">
        <v>2.5000000000000001E-3</v>
      </c>
      <c r="J1674" s="1">
        <v>0.33029999999999998</v>
      </c>
    </row>
    <row r="1675" spans="1:10" x14ac:dyDescent="0.2">
      <c r="A1675" t="str">
        <f>"01/12/2019"</f>
        <v>01/12/2019</v>
      </c>
      <c r="B1675">
        <v>1</v>
      </c>
      <c r="C1675">
        <v>68000</v>
      </c>
      <c r="D1675">
        <v>149713</v>
      </c>
      <c r="E1675">
        <v>68000</v>
      </c>
      <c r="F1675">
        <v>68000</v>
      </c>
      <c r="G1675" s="1">
        <v>2.5000000000000001E-3</v>
      </c>
      <c r="H1675" s="1">
        <v>2.5000000000000001E-3</v>
      </c>
      <c r="I1675" s="1">
        <v>2.5000000000000001E-3</v>
      </c>
      <c r="J1675" s="1">
        <v>0.40150000000000002</v>
      </c>
    </row>
    <row r="1676" spans="1:10" x14ac:dyDescent="0.2">
      <c r="A1676" t="str">
        <f>"28/11/2019"</f>
        <v>28/11/2019</v>
      </c>
      <c r="B1676">
        <v>3</v>
      </c>
      <c r="C1676">
        <v>55000</v>
      </c>
      <c r="D1676">
        <v>90392</v>
      </c>
      <c r="E1676">
        <v>55000</v>
      </c>
      <c r="F1676">
        <v>55000</v>
      </c>
      <c r="G1676" s="1">
        <v>2.5000000000000001E-3</v>
      </c>
      <c r="H1676" s="1">
        <v>2.5000000000000001E-3</v>
      </c>
      <c r="I1676" s="1">
        <v>2.5000000000000001E-3</v>
      </c>
      <c r="J1676" s="1">
        <v>0.54979999999999996</v>
      </c>
    </row>
    <row r="1677" spans="1:10" x14ac:dyDescent="0.2">
      <c r="A1677" t="str">
        <f>"27/11/2019"</f>
        <v>27/11/2019</v>
      </c>
      <c r="B1677">
        <v>1</v>
      </c>
      <c r="C1677">
        <v>40000</v>
      </c>
      <c r="D1677">
        <v>39838</v>
      </c>
      <c r="E1677">
        <v>39838</v>
      </c>
      <c r="F1677">
        <v>39838</v>
      </c>
      <c r="G1677" s="1">
        <v>2.5000000000000001E-3</v>
      </c>
      <c r="H1677" s="1">
        <v>2.3999999999999998E-3</v>
      </c>
      <c r="I1677" s="1">
        <v>2.3999999999999998E-3</v>
      </c>
      <c r="J1677" s="1">
        <v>1</v>
      </c>
    </row>
    <row r="1678" spans="1:10" x14ac:dyDescent="0.2">
      <c r="A1678" t="str">
        <f>"26/11/2019"</f>
        <v>26/11/2019</v>
      </c>
      <c r="B1678">
        <v>1</v>
      </c>
      <c r="C1678">
        <v>44000</v>
      </c>
      <c r="D1678">
        <v>101480</v>
      </c>
      <c r="E1678">
        <v>44000</v>
      </c>
      <c r="F1678">
        <v>44000</v>
      </c>
      <c r="G1678" s="1">
        <v>2.5000000000000001E-3</v>
      </c>
      <c r="H1678" s="1">
        <v>2.5000000000000001E-3</v>
      </c>
      <c r="I1678" s="1">
        <v>2.5000000000000001E-3</v>
      </c>
      <c r="J1678" s="1">
        <v>0.35560000000000003</v>
      </c>
    </row>
    <row r="1679" spans="1:10" x14ac:dyDescent="0.2">
      <c r="A1679" t="str">
        <f>"25/11/2019"</f>
        <v>25/11/2019</v>
      </c>
      <c r="B1679">
        <v>1</v>
      </c>
      <c r="C1679">
        <v>44000</v>
      </c>
      <c r="D1679">
        <v>109266</v>
      </c>
      <c r="E1679">
        <v>44000</v>
      </c>
      <c r="F1679">
        <v>44000</v>
      </c>
      <c r="G1679" s="1">
        <v>2.5000000000000001E-3</v>
      </c>
      <c r="H1679" s="1">
        <v>2.5000000000000001E-3</v>
      </c>
      <c r="I1679" s="1">
        <v>2.5000000000000001E-3</v>
      </c>
      <c r="J1679" s="1">
        <v>0.33179999999999998</v>
      </c>
    </row>
    <row r="1680" spans="1:10" x14ac:dyDescent="0.2">
      <c r="A1680" t="str">
        <f>"24/11/2019"</f>
        <v>24/11/2019</v>
      </c>
      <c r="B1680">
        <v>1</v>
      </c>
      <c r="C1680">
        <v>44000</v>
      </c>
      <c r="D1680">
        <v>112728</v>
      </c>
      <c r="E1680">
        <v>44000</v>
      </c>
      <c r="F1680">
        <v>44000</v>
      </c>
      <c r="G1680" s="1">
        <v>2.5000000000000001E-3</v>
      </c>
      <c r="H1680" s="1">
        <v>2.5000000000000001E-3</v>
      </c>
      <c r="I1680" s="1">
        <v>2.5000000000000001E-3</v>
      </c>
      <c r="J1680" s="1">
        <v>0.33129999999999998</v>
      </c>
    </row>
    <row r="1681" spans="1:10" x14ac:dyDescent="0.2">
      <c r="A1681" t="str">
        <f>"21/11/2019"</f>
        <v>21/11/2019</v>
      </c>
      <c r="B1681">
        <v>3</v>
      </c>
      <c r="C1681">
        <v>45000</v>
      </c>
      <c r="D1681">
        <v>126832</v>
      </c>
      <c r="E1681">
        <v>45000</v>
      </c>
      <c r="F1681">
        <v>45000</v>
      </c>
      <c r="G1681" s="1">
        <v>2.5000000000000001E-3</v>
      </c>
      <c r="H1681" s="1">
        <v>2.5000000000000001E-3</v>
      </c>
      <c r="I1681" s="1">
        <v>2.5000000000000001E-3</v>
      </c>
      <c r="J1681" s="1">
        <v>0.28610000000000002</v>
      </c>
    </row>
    <row r="1682" spans="1:10" x14ac:dyDescent="0.2">
      <c r="A1682" t="str">
        <f>"20/11/2019"</f>
        <v>20/11/2019</v>
      </c>
      <c r="B1682">
        <v>1</v>
      </c>
      <c r="C1682">
        <v>49000</v>
      </c>
      <c r="D1682">
        <v>140577</v>
      </c>
      <c r="E1682">
        <v>49000</v>
      </c>
      <c r="F1682">
        <v>49000</v>
      </c>
      <c r="G1682" s="1">
        <v>2.5000000000000001E-3</v>
      </c>
      <c r="H1682" s="1">
        <v>2.5000000000000001E-3</v>
      </c>
      <c r="I1682" s="1">
        <v>2.5000000000000001E-3</v>
      </c>
      <c r="J1682" s="1">
        <v>0.2848</v>
      </c>
    </row>
    <row r="1683" spans="1:10" x14ac:dyDescent="0.2">
      <c r="A1683" t="str">
        <f>"19/11/2019"</f>
        <v>19/11/2019</v>
      </c>
      <c r="B1683">
        <v>1</v>
      </c>
      <c r="C1683">
        <v>50000</v>
      </c>
      <c r="D1683">
        <v>139435</v>
      </c>
      <c r="E1683">
        <v>50000</v>
      </c>
      <c r="F1683">
        <v>50000</v>
      </c>
      <c r="G1683" s="1">
        <v>2.5000000000000001E-3</v>
      </c>
      <c r="H1683" s="1">
        <v>2.5000000000000001E-3</v>
      </c>
      <c r="I1683" s="1">
        <v>2.5000000000000001E-3</v>
      </c>
      <c r="J1683" s="1">
        <v>0.29920000000000002</v>
      </c>
    </row>
    <row r="1684" spans="1:10" x14ac:dyDescent="0.2">
      <c r="A1684" t="str">
        <f>"18/11/2019"</f>
        <v>18/11/2019</v>
      </c>
      <c r="B1684">
        <v>1</v>
      </c>
      <c r="C1684">
        <v>53000</v>
      </c>
      <c r="D1684">
        <v>150525</v>
      </c>
      <c r="E1684">
        <v>53000</v>
      </c>
      <c r="F1684">
        <v>53000</v>
      </c>
      <c r="G1684" s="1">
        <v>2.5000000000000001E-3</v>
      </c>
      <c r="H1684" s="1">
        <v>2.5000000000000001E-3</v>
      </c>
      <c r="I1684" s="1">
        <v>2.5000000000000001E-3</v>
      </c>
      <c r="J1684" s="1">
        <v>0.29559999999999997</v>
      </c>
    </row>
    <row r="1685" spans="1:10" x14ac:dyDescent="0.2">
      <c r="A1685" t="str">
        <f>"17/11/2019"</f>
        <v>17/11/2019</v>
      </c>
      <c r="B1685">
        <v>1</v>
      </c>
      <c r="C1685">
        <v>56000</v>
      </c>
      <c r="D1685">
        <v>164777</v>
      </c>
      <c r="E1685">
        <v>56000</v>
      </c>
      <c r="F1685">
        <v>56000</v>
      </c>
      <c r="G1685" s="1">
        <v>2.5000000000000001E-3</v>
      </c>
      <c r="H1685" s="1">
        <v>2.5000000000000001E-3</v>
      </c>
      <c r="I1685" s="1">
        <v>2.5000000000000001E-3</v>
      </c>
      <c r="J1685" s="1">
        <v>0.29060000000000002</v>
      </c>
    </row>
    <row r="1686" spans="1:10" x14ac:dyDescent="0.2">
      <c r="A1686" t="str">
        <f>"14/11/2019"</f>
        <v>14/11/2019</v>
      </c>
      <c r="B1686">
        <v>3</v>
      </c>
      <c r="C1686">
        <v>61000</v>
      </c>
      <c r="D1686">
        <v>182015</v>
      </c>
      <c r="E1686">
        <v>61000</v>
      </c>
      <c r="F1686">
        <v>61000</v>
      </c>
      <c r="G1686" s="1">
        <v>2.5000000000000001E-3</v>
      </c>
      <c r="H1686" s="1">
        <v>2.5000000000000001E-3</v>
      </c>
      <c r="I1686" s="1">
        <v>2.5000000000000001E-3</v>
      </c>
      <c r="J1686" s="1">
        <v>0.28520000000000001</v>
      </c>
    </row>
    <row r="1687" spans="1:10" x14ac:dyDescent="0.2">
      <c r="A1687" t="str">
        <f>"13/11/2019"</f>
        <v>13/11/2019</v>
      </c>
      <c r="B1687">
        <v>1</v>
      </c>
      <c r="C1687">
        <v>62000</v>
      </c>
      <c r="D1687">
        <v>197675</v>
      </c>
      <c r="E1687">
        <v>62000</v>
      </c>
      <c r="F1687">
        <v>62000</v>
      </c>
      <c r="G1687" s="1">
        <v>2.5000000000000001E-3</v>
      </c>
      <c r="H1687" s="1">
        <v>2.5000000000000001E-3</v>
      </c>
      <c r="I1687" s="1">
        <v>2.5000000000000001E-3</v>
      </c>
      <c r="J1687" s="1">
        <v>0.26419999999999999</v>
      </c>
    </row>
    <row r="1688" spans="1:10" x14ac:dyDescent="0.2">
      <c r="A1688" t="str">
        <f>"12/11/2019"</f>
        <v>12/11/2019</v>
      </c>
      <c r="B1688">
        <v>1</v>
      </c>
      <c r="C1688">
        <v>62000</v>
      </c>
      <c r="D1688">
        <v>196022</v>
      </c>
      <c r="E1688">
        <v>62000</v>
      </c>
      <c r="F1688">
        <v>62000</v>
      </c>
      <c r="G1688" s="1">
        <v>2.5000000000000001E-3</v>
      </c>
      <c r="H1688" s="1">
        <v>2.5000000000000001E-3</v>
      </c>
      <c r="I1688" s="1">
        <v>2.5000000000000001E-3</v>
      </c>
      <c r="J1688" s="1">
        <v>0.26419999999999999</v>
      </c>
    </row>
    <row r="1689" spans="1:10" x14ac:dyDescent="0.2">
      <c r="A1689" t="str">
        <f>"11/11/2019"</f>
        <v>11/11/2019</v>
      </c>
      <c r="B1689">
        <v>1</v>
      </c>
      <c r="C1689">
        <v>63000</v>
      </c>
      <c r="D1689">
        <v>202028</v>
      </c>
      <c r="E1689">
        <v>63000</v>
      </c>
      <c r="F1689">
        <v>63000</v>
      </c>
      <c r="G1689" s="1">
        <v>2.5000000000000001E-3</v>
      </c>
      <c r="H1689" s="1">
        <v>2.5000000000000001E-3</v>
      </c>
      <c r="I1689" s="1">
        <v>2.5000000000000001E-3</v>
      </c>
      <c r="J1689" s="1">
        <v>0.2636</v>
      </c>
    </row>
    <row r="1690" spans="1:10" x14ac:dyDescent="0.2">
      <c r="A1690" t="str">
        <f>"10/11/2019"</f>
        <v>10/11/2019</v>
      </c>
      <c r="B1690">
        <v>1</v>
      </c>
      <c r="C1690">
        <v>63000</v>
      </c>
      <c r="D1690">
        <v>191243</v>
      </c>
      <c r="E1690">
        <v>63000</v>
      </c>
      <c r="F1690">
        <v>63000</v>
      </c>
      <c r="G1690" s="1">
        <v>2.5000000000000001E-3</v>
      </c>
      <c r="H1690" s="1">
        <v>2.5000000000000001E-3</v>
      </c>
      <c r="I1690" s="1">
        <v>2.5000000000000001E-3</v>
      </c>
      <c r="J1690" s="1">
        <v>0.2838</v>
      </c>
    </row>
    <row r="1691" spans="1:10" x14ac:dyDescent="0.2">
      <c r="A1691" t="str">
        <f>"07/11/2019"</f>
        <v>07/11/2019</v>
      </c>
      <c r="B1691">
        <v>3</v>
      </c>
      <c r="C1691">
        <v>63000</v>
      </c>
      <c r="D1691">
        <v>172884</v>
      </c>
      <c r="E1691">
        <v>63000</v>
      </c>
      <c r="F1691">
        <v>63000</v>
      </c>
      <c r="G1691" s="1">
        <v>2.5000000000000001E-3</v>
      </c>
      <c r="H1691" s="1">
        <v>2.5000000000000001E-3</v>
      </c>
      <c r="I1691" s="1">
        <v>2.5000000000000001E-3</v>
      </c>
      <c r="J1691" s="1">
        <v>0.31309999999999999</v>
      </c>
    </row>
    <row r="1692" spans="1:10" x14ac:dyDescent="0.2">
      <c r="A1692" t="str">
        <f>"06/11/2019"</f>
        <v>06/11/2019</v>
      </c>
      <c r="B1692">
        <v>1</v>
      </c>
      <c r="C1692">
        <v>63000</v>
      </c>
      <c r="D1692">
        <v>163505</v>
      </c>
      <c r="E1692">
        <v>63000</v>
      </c>
      <c r="F1692">
        <v>63000</v>
      </c>
      <c r="G1692" s="1">
        <v>2.5000000000000001E-3</v>
      </c>
      <c r="H1692" s="1">
        <v>2.5000000000000001E-3</v>
      </c>
      <c r="I1692" s="1">
        <v>2.5000000000000001E-3</v>
      </c>
      <c r="J1692" s="1">
        <v>0.33250000000000002</v>
      </c>
    </row>
    <row r="1693" spans="1:10" x14ac:dyDescent="0.2">
      <c r="A1693" t="str">
        <f>"05/11/2019"</f>
        <v>05/11/2019</v>
      </c>
      <c r="B1693">
        <v>1</v>
      </c>
      <c r="C1693">
        <v>63000</v>
      </c>
      <c r="D1693">
        <v>164925</v>
      </c>
      <c r="E1693">
        <v>63000</v>
      </c>
      <c r="F1693">
        <v>63000</v>
      </c>
      <c r="G1693" s="1">
        <v>2.5000000000000001E-3</v>
      </c>
      <c r="H1693" s="1">
        <v>2.5000000000000001E-3</v>
      </c>
      <c r="I1693" s="1">
        <v>2.5000000000000001E-3</v>
      </c>
      <c r="J1693" s="1">
        <v>0.33079999999999998</v>
      </c>
    </row>
    <row r="1694" spans="1:10" x14ac:dyDescent="0.2">
      <c r="A1694" t="str">
        <f>"04/11/2019"</f>
        <v>04/11/2019</v>
      </c>
      <c r="B1694">
        <v>1</v>
      </c>
      <c r="C1694">
        <v>63000</v>
      </c>
      <c r="D1694">
        <v>174579</v>
      </c>
      <c r="E1694">
        <v>63000</v>
      </c>
      <c r="F1694">
        <v>63000</v>
      </c>
      <c r="G1694" s="1">
        <v>2.5000000000000001E-3</v>
      </c>
      <c r="H1694" s="1">
        <v>2.5000000000000001E-3</v>
      </c>
      <c r="I1694" s="1">
        <v>2.5000000000000001E-3</v>
      </c>
      <c r="J1694" s="1">
        <v>0.31230000000000002</v>
      </c>
    </row>
    <row r="1695" spans="1:10" x14ac:dyDescent="0.2">
      <c r="A1695" t="str">
        <f>"03/11/2019"</f>
        <v>03/11/2019</v>
      </c>
      <c r="B1695">
        <v>1</v>
      </c>
      <c r="C1695">
        <v>65000</v>
      </c>
      <c r="D1695">
        <v>187635</v>
      </c>
      <c r="E1695">
        <v>65000</v>
      </c>
      <c r="F1695">
        <v>65000</v>
      </c>
      <c r="G1695" s="1">
        <v>2.5000000000000001E-3</v>
      </c>
      <c r="H1695" s="1">
        <v>2.5000000000000001E-3</v>
      </c>
      <c r="I1695" s="1">
        <v>2.5000000000000001E-3</v>
      </c>
      <c r="J1695" s="1">
        <v>0.29970000000000002</v>
      </c>
    </row>
    <row r="1696" spans="1:10" x14ac:dyDescent="0.2">
      <c r="A1696" t="str">
        <f>"31/10/2019"</f>
        <v>31/10/2019</v>
      </c>
      <c r="B1696">
        <v>3</v>
      </c>
      <c r="C1696">
        <v>65000</v>
      </c>
      <c r="D1696">
        <v>209180</v>
      </c>
      <c r="E1696">
        <v>65000</v>
      </c>
      <c r="F1696">
        <v>65000</v>
      </c>
      <c r="G1696" s="1">
        <v>2.5000000000000001E-3</v>
      </c>
      <c r="H1696" s="1">
        <v>2.5000000000000001E-3</v>
      </c>
      <c r="I1696" s="1">
        <v>2.5000000000000001E-3</v>
      </c>
      <c r="J1696" s="1">
        <v>0.26019999999999999</v>
      </c>
    </row>
    <row r="1697" spans="1:10" x14ac:dyDescent="0.2">
      <c r="A1697" t="str">
        <f>"30/10/2019"</f>
        <v>30/10/2019</v>
      </c>
      <c r="B1697">
        <v>1</v>
      </c>
      <c r="C1697">
        <v>56000</v>
      </c>
      <c r="D1697">
        <v>193605</v>
      </c>
      <c r="E1697">
        <v>56000</v>
      </c>
      <c r="F1697">
        <v>56000</v>
      </c>
      <c r="G1697" s="1">
        <v>2.5000000000000001E-3</v>
      </c>
      <c r="H1697" s="1">
        <v>2.5000000000000001E-3</v>
      </c>
      <c r="I1697" s="1">
        <v>2.5000000000000001E-3</v>
      </c>
      <c r="J1697" s="1">
        <v>0.2382</v>
      </c>
    </row>
    <row r="1698" spans="1:10" x14ac:dyDescent="0.2">
      <c r="A1698" t="str">
        <f>"29/10/2019"</f>
        <v>29/10/2019</v>
      </c>
      <c r="B1698">
        <v>1</v>
      </c>
      <c r="C1698">
        <v>56000</v>
      </c>
      <c r="D1698">
        <v>189741</v>
      </c>
      <c r="E1698">
        <v>56000</v>
      </c>
      <c r="F1698">
        <v>56000</v>
      </c>
      <c r="G1698" s="1">
        <v>2.5000000000000001E-3</v>
      </c>
      <c r="H1698" s="1">
        <v>2.5000000000000001E-3</v>
      </c>
      <c r="I1698" s="1">
        <v>2.5000000000000001E-3</v>
      </c>
      <c r="J1698" s="1">
        <v>0.24410000000000001</v>
      </c>
    </row>
    <row r="1699" spans="1:10" x14ac:dyDescent="0.2">
      <c r="A1699" t="str">
        <f>"28/10/2019"</f>
        <v>28/10/2019</v>
      </c>
      <c r="B1699">
        <v>1</v>
      </c>
      <c r="C1699">
        <v>58000</v>
      </c>
      <c r="D1699">
        <v>174853</v>
      </c>
      <c r="E1699">
        <v>58000</v>
      </c>
      <c r="F1699">
        <v>58000</v>
      </c>
      <c r="G1699" s="1">
        <v>2.5000000000000001E-3</v>
      </c>
      <c r="H1699" s="1">
        <v>2.5000000000000001E-3</v>
      </c>
      <c r="I1699" s="1">
        <v>2.5000000000000001E-3</v>
      </c>
      <c r="J1699" s="1">
        <v>0.2777</v>
      </c>
    </row>
    <row r="1700" spans="1:10" x14ac:dyDescent="0.2">
      <c r="A1700" t="str">
        <f>"27/10/2019"</f>
        <v>27/10/2019</v>
      </c>
      <c r="B1700">
        <v>1</v>
      </c>
      <c r="C1700">
        <v>54000</v>
      </c>
      <c r="D1700">
        <v>160533</v>
      </c>
      <c r="E1700">
        <v>54000</v>
      </c>
      <c r="F1700">
        <v>54000</v>
      </c>
      <c r="G1700" s="1">
        <v>2.5000000000000001E-3</v>
      </c>
      <c r="H1700" s="1">
        <v>2.5000000000000001E-3</v>
      </c>
      <c r="I1700" s="1">
        <v>2.5000000000000001E-3</v>
      </c>
      <c r="J1700" s="1">
        <v>0.2893</v>
      </c>
    </row>
    <row r="1701" spans="1:10" x14ac:dyDescent="0.2">
      <c r="A1701" t="str">
        <f>"24/10/2019"</f>
        <v>24/10/2019</v>
      </c>
      <c r="B1701">
        <v>3</v>
      </c>
      <c r="C1701">
        <v>54000</v>
      </c>
      <c r="D1701">
        <v>148389</v>
      </c>
      <c r="E1701">
        <v>54000</v>
      </c>
      <c r="F1701">
        <v>54000</v>
      </c>
      <c r="G1701" s="1">
        <v>2.5000000000000001E-3</v>
      </c>
      <c r="H1701" s="1">
        <v>2.5000000000000001E-3</v>
      </c>
      <c r="I1701" s="1">
        <v>2.5000000000000001E-3</v>
      </c>
      <c r="J1701" s="1">
        <v>0.30580000000000002</v>
      </c>
    </row>
    <row r="1702" spans="1:10" x14ac:dyDescent="0.2">
      <c r="A1702" t="str">
        <f>"23/10/2019"</f>
        <v>23/10/2019</v>
      </c>
      <c r="B1702">
        <v>1</v>
      </c>
      <c r="C1702">
        <v>56000</v>
      </c>
      <c r="D1702">
        <v>143337</v>
      </c>
      <c r="E1702">
        <v>56000</v>
      </c>
      <c r="F1702">
        <v>56000</v>
      </c>
      <c r="G1702" s="1">
        <v>2.5000000000000001E-3</v>
      </c>
      <c r="H1702" s="1">
        <v>2.5000000000000001E-3</v>
      </c>
      <c r="I1702" s="1">
        <v>2.5000000000000001E-3</v>
      </c>
      <c r="J1702" s="1">
        <v>0.32279999999999998</v>
      </c>
    </row>
    <row r="1703" spans="1:10" x14ac:dyDescent="0.2">
      <c r="A1703" t="str">
        <f>"22/10/2019"</f>
        <v>22/10/2019</v>
      </c>
      <c r="B1703">
        <v>1</v>
      </c>
      <c r="C1703">
        <v>58000</v>
      </c>
      <c r="D1703">
        <v>146028</v>
      </c>
      <c r="E1703">
        <v>58000</v>
      </c>
      <c r="F1703">
        <v>58000</v>
      </c>
      <c r="G1703" s="1">
        <v>2.5000000000000001E-3</v>
      </c>
      <c r="H1703" s="1">
        <v>2.5000000000000001E-3</v>
      </c>
      <c r="I1703" s="1">
        <v>2.5000000000000001E-3</v>
      </c>
      <c r="J1703" s="1">
        <v>0.33850000000000002</v>
      </c>
    </row>
    <row r="1704" spans="1:10" x14ac:dyDescent="0.2">
      <c r="A1704" t="str">
        <f>"17/10/2019"</f>
        <v>17/10/2019</v>
      </c>
      <c r="B1704">
        <v>5</v>
      </c>
      <c r="C1704">
        <v>59000</v>
      </c>
      <c r="D1704">
        <v>133248</v>
      </c>
      <c r="E1704">
        <v>59000</v>
      </c>
      <c r="F1704">
        <v>59000</v>
      </c>
      <c r="G1704" s="1">
        <v>2.5000000000000001E-3</v>
      </c>
      <c r="H1704" s="1">
        <v>2.5000000000000001E-3</v>
      </c>
      <c r="I1704" s="1">
        <v>2.5000000000000001E-3</v>
      </c>
      <c r="J1704" s="1">
        <v>0.36969999999999997</v>
      </c>
    </row>
    <row r="1705" spans="1:10" x14ac:dyDescent="0.2">
      <c r="A1705" t="str">
        <f>"16/10/2019"</f>
        <v>16/10/2019</v>
      </c>
      <c r="B1705">
        <v>1</v>
      </c>
      <c r="C1705">
        <v>60000</v>
      </c>
      <c r="D1705">
        <v>126625</v>
      </c>
      <c r="E1705">
        <v>60000</v>
      </c>
      <c r="F1705">
        <v>60000</v>
      </c>
      <c r="G1705" s="1">
        <v>2.5000000000000001E-3</v>
      </c>
      <c r="H1705" s="1">
        <v>2.5000000000000001E-3</v>
      </c>
      <c r="I1705" s="1">
        <v>2.5000000000000001E-3</v>
      </c>
      <c r="J1705" s="1">
        <v>0.4153</v>
      </c>
    </row>
    <row r="1706" spans="1:10" x14ac:dyDescent="0.2">
      <c r="A1706" t="str">
        <f>"15/10/2019"</f>
        <v>15/10/2019</v>
      </c>
      <c r="B1706">
        <v>1</v>
      </c>
      <c r="C1706">
        <v>58000</v>
      </c>
      <c r="D1706">
        <v>106402</v>
      </c>
      <c r="E1706">
        <v>58000</v>
      </c>
      <c r="F1706">
        <v>58000</v>
      </c>
      <c r="G1706" s="1">
        <v>2.5000000000000001E-3</v>
      </c>
      <c r="H1706" s="1">
        <v>2.5000000000000001E-3</v>
      </c>
      <c r="I1706" s="1">
        <v>2.5000000000000001E-3</v>
      </c>
      <c r="J1706" s="1">
        <v>0.48720000000000002</v>
      </c>
    </row>
    <row r="1707" spans="1:10" x14ac:dyDescent="0.2">
      <c r="A1707" t="str">
        <f>"10/10/2019"</f>
        <v>10/10/2019</v>
      </c>
      <c r="B1707">
        <v>5</v>
      </c>
      <c r="C1707">
        <v>60000</v>
      </c>
      <c r="D1707">
        <v>93602</v>
      </c>
      <c r="E1707">
        <v>60000</v>
      </c>
      <c r="F1707">
        <v>60000</v>
      </c>
      <c r="G1707" s="1">
        <v>2.5000000000000001E-3</v>
      </c>
      <c r="H1707" s="1">
        <v>2.5000000000000001E-3</v>
      </c>
      <c r="I1707" s="1">
        <v>2.5000000000000001E-3</v>
      </c>
      <c r="J1707" s="1">
        <v>0.5917</v>
      </c>
    </row>
    <row r="1708" spans="1:10" x14ac:dyDescent="0.2">
      <c r="A1708" t="str">
        <f>"07/10/2019"</f>
        <v>07/10/2019</v>
      </c>
      <c r="B1708">
        <v>3</v>
      </c>
      <c r="C1708">
        <v>57000</v>
      </c>
      <c r="D1708">
        <v>55064</v>
      </c>
      <c r="E1708">
        <v>55064</v>
      </c>
      <c r="F1708">
        <v>55064</v>
      </c>
      <c r="G1708" s="1">
        <v>2.5000000000000001E-3</v>
      </c>
      <c r="H1708" s="1">
        <v>2.3999999999999998E-3</v>
      </c>
      <c r="I1708" s="1">
        <v>2.3999999999999998E-3</v>
      </c>
      <c r="J1708" s="1">
        <v>1</v>
      </c>
    </row>
    <row r="1709" spans="1:10" x14ac:dyDescent="0.2">
      <c r="A1709" t="str">
        <f>"06/10/2019"</f>
        <v>06/10/2019</v>
      </c>
      <c r="B1709">
        <v>1</v>
      </c>
      <c r="C1709">
        <v>54000</v>
      </c>
      <c r="D1709">
        <v>138928</v>
      </c>
      <c r="E1709">
        <v>54000</v>
      </c>
      <c r="F1709">
        <v>54000</v>
      </c>
      <c r="G1709" s="1">
        <v>2.5000000000000001E-3</v>
      </c>
      <c r="H1709" s="1">
        <v>2.5000000000000001E-3</v>
      </c>
      <c r="I1709" s="1">
        <v>2.5000000000000001E-3</v>
      </c>
      <c r="J1709" s="1">
        <v>0.2417</v>
      </c>
    </row>
    <row r="1710" spans="1:10" x14ac:dyDescent="0.2">
      <c r="A1710" t="str">
        <f>"03/10/2019"</f>
        <v>03/10/2019</v>
      </c>
      <c r="B1710">
        <v>3</v>
      </c>
      <c r="C1710">
        <v>53000</v>
      </c>
      <c r="D1710">
        <v>157961</v>
      </c>
      <c r="E1710">
        <v>53000</v>
      </c>
      <c r="F1710">
        <v>53000</v>
      </c>
      <c r="G1710" s="1">
        <v>2.5000000000000001E-3</v>
      </c>
      <c r="H1710" s="1">
        <v>2.5000000000000001E-3</v>
      </c>
      <c r="I1710" s="1">
        <v>2.5000000000000001E-3</v>
      </c>
      <c r="J1710" s="1">
        <v>0.25850000000000001</v>
      </c>
    </row>
    <row r="1711" spans="1:10" x14ac:dyDescent="0.2">
      <c r="A1711" t="str">
        <f>"02/10/2019"</f>
        <v>02/10/2019</v>
      </c>
      <c r="B1711">
        <v>1</v>
      </c>
      <c r="C1711">
        <v>50000</v>
      </c>
      <c r="D1711">
        <v>157298</v>
      </c>
      <c r="E1711">
        <v>50000</v>
      </c>
      <c r="F1711">
        <v>50000</v>
      </c>
      <c r="G1711" s="1">
        <v>2.5000000000000001E-3</v>
      </c>
      <c r="H1711" s="1">
        <v>2.5000000000000001E-3</v>
      </c>
      <c r="I1711" s="1">
        <v>2.5000000000000001E-3</v>
      </c>
      <c r="J1711" s="1">
        <v>0.2427</v>
      </c>
    </row>
    <row r="1712" spans="1:10" x14ac:dyDescent="0.2">
      <c r="A1712" t="str">
        <f>"26/09/2019"</f>
        <v>26/09/2019</v>
      </c>
      <c r="B1712">
        <v>6</v>
      </c>
      <c r="C1712">
        <v>44000</v>
      </c>
      <c r="D1712">
        <v>102386</v>
      </c>
      <c r="E1712">
        <v>44000</v>
      </c>
      <c r="F1712">
        <v>44000</v>
      </c>
      <c r="G1712" s="1">
        <v>2.5000000000000001E-3</v>
      </c>
      <c r="H1712" s="1">
        <v>2.5000000000000001E-3</v>
      </c>
      <c r="I1712" s="1">
        <v>2.5000000000000001E-3</v>
      </c>
      <c r="J1712" s="1">
        <v>0.34699999999999998</v>
      </c>
    </row>
    <row r="1713" spans="1:10" x14ac:dyDescent="0.2">
      <c r="A1713" t="str">
        <f>"25/09/2019"</f>
        <v>25/09/2019</v>
      </c>
      <c r="B1713">
        <v>1</v>
      </c>
      <c r="C1713">
        <v>40000</v>
      </c>
      <c r="D1713">
        <v>106617</v>
      </c>
      <c r="E1713">
        <v>40000</v>
      </c>
      <c r="F1713">
        <v>40000</v>
      </c>
      <c r="G1713" s="1">
        <v>2.5000000000000001E-3</v>
      </c>
      <c r="H1713" s="1">
        <v>2.5000000000000001E-3</v>
      </c>
      <c r="I1713" s="1">
        <v>2.5000000000000001E-3</v>
      </c>
      <c r="J1713" s="1">
        <v>0.28939999999999999</v>
      </c>
    </row>
    <row r="1714" spans="1:10" x14ac:dyDescent="0.2">
      <c r="A1714" t="str">
        <f>"24/09/2019"</f>
        <v>24/09/2019</v>
      </c>
      <c r="B1714">
        <v>1</v>
      </c>
      <c r="C1714">
        <v>36000</v>
      </c>
      <c r="D1714">
        <v>105908</v>
      </c>
      <c r="E1714">
        <v>36000</v>
      </c>
      <c r="F1714">
        <v>36000</v>
      </c>
      <c r="G1714" s="1">
        <v>2.5000000000000001E-3</v>
      </c>
      <c r="H1714" s="1">
        <v>2.5000000000000001E-3</v>
      </c>
      <c r="I1714" s="1">
        <v>2.5000000000000001E-3</v>
      </c>
      <c r="J1714" s="1">
        <v>0.25290000000000001</v>
      </c>
    </row>
    <row r="1715" spans="1:10" x14ac:dyDescent="0.2">
      <c r="A1715" t="str">
        <f>"23/09/2019"</f>
        <v>23/09/2019</v>
      </c>
      <c r="B1715">
        <v>1</v>
      </c>
      <c r="C1715">
        <v>39000</v>
      </c>
      <c r="D1715">
        <v>106653</v>
      </c>
      <c r="E1715">
        <v>39000</v>
      </c>
      <c r="F1715">
        <v>39000</v>
      </c>
      <c r="G1715" s="1">
        <v>2.5000000000000001E-3</v>
      </c>
      <c r="H1715" s="1">
        <v>2.5000000000000001E-3</v>
      </c>
      <c r="I1715" s="1">
        <v>2.5000000000000001E-3</v>
      </c>
      <c r="J1715" s="1">
        <v>0.27639999999999998</v>
      </c>
    </row>
    <row r="1716" spans="1:10" x14ac:dyDescent="0.2">
      <c r="A1716" t="str">
        <f>"22/09/2019"</f>
        <v>22/09/2019</v>
      </c>
      <c r="B1716">
        <v>1</v>
      </c>
      <c r="C1716">
        <v>43000</v>
      </c>
      <c r="D1716">
        <v>112628</v>
      </c>
      <c r="E1716">
        <v>43000</v>
      </c>
      <c r="F1716">
        <v>43000</v>
      </c>
      <c r="G1716" s="1">
        <v>2.5000000000000001E-3</v>
      </c>
      <c r="H1716" s="1">
        <v>2.5000000000000001E-3</v>
      </c>
      <c r="I1716" s="1">
        <v>2.5000000000000001E-3</v>
      </c>
      <c r="J1716" s="1">
        <v>0.32269999999999999</v>
      </c>
    </row>
    <row r="1717" spans="1:10" x14ac:dyDescent="0.2">
      <c r="A1717" t="str">
        <f>"19/09/2019"</f>
        <v>19/09/2019</v>
      </c>
      <c r="B1717">
        <v>3</v>
      </c>
      <c r="C1717">
        <v>47000</v>
      </c>
      <c r="D1717">
        <v>125045</v>
      </c>
      <c r="E1717">
        <v>47000</v>
      </c>
      <c r="F1717">
        <v>47000</v>
      </c>
      <c r="G1717" s="1">
        <v>2.5000000000000001E-3</v>
      </c>
      <c r="H1717" s="1">
        <v>2.5000000000000001E-3</v>
      </c>
      <c r="I1717" s="1">
        <v>2.5000000000000001E-3</v>
      </c>
      <c r="J1717" s="1">
        <v>0.3095</v>
      </c>
    </row>
    <row r="1718" spans="1:10" x14ac:dyDescent="0.2">
      <c r="A1718" t="str">
        <f>"18/09/2019"</f>
        <v>18/09/2019</v>
      </c>
      <c r="B1718">
        <v>1</v>
      </c>
      <c r="C1718">
        <v>50000</v>
      </c>
      <c r="D1718">
        <v>134409</v>
      </c>
      <c r="E1718">
        <v>50000</v>
      </c>
      <c r="F1718">
        <v>50000</v>
      </c>
      <c r="G1718" s="1">
        <v>2.5000000000000001E-3</v>
      </c>
      <c r="H1718" s="1">
        <v>2.5000000000000001E-3</v>
      </c>
      <c r="I1718" s="1">
        <v>2.5000000000000001E-3</v>
      </c>
      <c r="J1718" s="1">
        <v>0.31040000000000001</v>
      </c>
    </row>
    <row r="1719" spans="1:10" x14ac:dyDescent="0.2">
      <c r="A1719" t="str">
        <f>"16/09/2019"</f>
        <v>16/09/2019</v>
      </c>
      <c r="B1719">
        <v>2</v>
      </c>
      <c r="C1719">
        <v>52000</v>
      </c>
      <c r="D1719">
        <v>145964</v>
      </c>
      <c r="E1719">
        <v>52000</v>
      </c>
      <c r="F1719">
        <v>52000</v>
      </c>
      <c r="G1719" s="1">
        <v>2.5000000000000001E-3</v>
      </c>
      <c r="H1719" s="1">
        <v>2.5000000000000001E-3</v>
      </c>
      <c r="I1719" s="1">
        <v>2.5000000000000001E-3</v>
      </c>
      <c r="J1719" s="1">
        <v>0.29849999999999999</v>
      </c>
    </row>
    <row r="1720" spans="1:10" x14ac:dyDescent="0.2">
      <c r="A1720" t="str">
        <f>"15/09/2019"</f>
        <v>15/09/2019</v>
      </c>
      <c r="B1720">
        <v>1</v>
      </c>
      <c r="C1720">
        <v>62000</v>
      </c>
      <c r="D1720">
        <v>181478</v>
      </c>
      <c r="E1720">
        <v>62000</v>
      </c>
      <c r="F1720">
        <v>62000</v>
      </c>
      <c r="G1720" s="1">
        <v>2.5000000000000001E-3</v>
      </c>
      <c r="H1720" s="1">
        <v>2.5000000000000001E-3</v>
      </c>
      <c r="I1720" s="1">
        <v>2.5000000000000001E-3</v>
      </c>
      <c r="J1720" s="1">
        <v>0.2959</v>
      </c>
    </row>
    <row r="1721" spans="1:10" x14ac:dyDescent="0.2">
      <c r="A1721" t="str">
        <f>"12/09/2019"</f>
        <v>12/09/2019</v>
      </c>
      <c r="B1721">
        <v>3</v>
      </c>
      <c r="C1721">
        <v>62000</v>
      </c>
      <c r="D1721">
        <v>188566</v>
      </c>
      <c r="E1721">
        <v>62000</v>
      </c>
      <c r="F1721">
        <v>62000</v>
      </c>
      <c r="G1721" s="1">
        <v>2.5000000000000001E-3</v>
      </c>
      <c r="H1721" s="1">
        <v>2.5000000000000001E-3</v>
      </c>
      <c r="I1721" s="1">
        <v>2.5000000000000001E-3</v>
      </c>
      <c r="J1721" s="1">
        <v>0.28149999999999997</v>
      </c>
    </row>
    <row r="1722" spans="1:10" x14ac:dyDescent="0.2">
      <c r="A1722" t="str">
        <f>"11/09/2019"</f>
        <v>11/09/2019</v>
      </c>
      <c r="B1722">
        <v>1</v>
      </c>
      <c r="C1722">
        <v>63000</v>
      </c>
      <c r="D1722">
        <v>201786</v>
      </c>
      <c r="E1722">
        <v>63000</v>
      </c>
      <c r="F1722">
        <v>63000</v>
      </c>
      <c r="G1722" s="1">
        <v>2.5000000000000001E-3</v>
      </c>
      <c r="H1722" s="1">
        <v>2.5000000000000001E-3</v>
      </c>
      <c r="I1722" s="1">
        <v>2.5000000000000001E-3</v>
      </c>
      <c r="J1722" s="1">
        <v>0.26229999999999998</v>
      </c>
    </row>
    <row r="1723" spans="1:10" x14ac:dyDescent="0.2">
      <c r="A1723" t="str">
        <f>"10/09/2019"</f>
        <v>10/09/2019</v>
      </c>
      <c r="B1723">
        <v>1</v>
      </c>
      <c r="C1723">
        <v>63000</v>
      </c>
      <c r="D1723">
        <v>203070</v>
      </c>
      <c r="E1723">
        <v>63000</v>
      </c>
      <c r="F1723">
        <v>63000</v>
      </c>
      <c r="G1723" s="1">
        <v>2.5000000000000001E-3</v>
      </c>
      <c r="H1723" s="1">
        <v>2.5000000000000001E-3</v>
      </c>
      <c r="I1723" s="1">
        <v>2.5000000000000001E-3</v>
      </c>
      <c r="J1723" s="1">
        <v>0.25979999999999998</v>
      </c>
    </row>
    <row r="1724" spans="1:10" x14ac:dyDescent="0.2">
      <c r="A1724" t="str">
        <f>"09/09/2019"</f>
        <v>09/09/2019</v>
      </c>
      <c r="B1724">
        <v>1</v>
      </c>
      <c r="C1724">
        <v>64000</v>
      </c>
      <c r="D1724">
        <v>201805</v>
      </c>
      <c r="E1724">
        <v>64000</v>
      </c>
      <c r="F1724">
        <v>64000</v>
      </c>
      <c r="G1724" s="1">
        <v>2.5000000000000001E-3</v>
      </c>
      <c r="H1724" s="1">
        <v>2.5000000000000001E-3</v>
      </c>
      <c r="I1724" s="1">
        <v>2.5000000000000001E-3</v>
      </c>
      <c r="J1724" s="1">
        <v>0.26369999999999999</v>
      </c>
    </row>
    <row r="1725" spans="1:10" x14ac:dyDescent="0.2">
      <c r="A1725" t="str">
        <f>"08/09/2019"</f>
        <v>08/09/2019</v>
      </c>
      <c r="B1725">
        <v>1</v>
      </c>
      <c r="C1725">
        <v>64000</v>
      </c>
      <c r="D1725">
        <v>188905</v>
      </c>
      <c r="E1725">
        <v>64000</v>
      </c>
      <c r="F1725">
        <v>64000</v>
      </c>
      <c r="G1725" s="1">
        <v>2.5000000000000001E-3</v>
      </c>
      <c r="H1725" s="1">
        <v>2.5000000000000001E-3</v>
      </c>
      <c r="I1725" s="1">
        <v>2.5000000000000001E-3</v>
      </c>
      <c r="J1725" s="1">
        <v>0.29559999999999997</v>
      </c>
    </row>
    <row r="1726" spans="1:10" x14ac:dyDescent="0.2">
      <c r="A1726" t="str">
        <f>"05/09/2019"</f>
        <v>05/09/2019</v>
      </c>
      <c r="B1726">
        <v>3</v>
      </c>
      <c r="C1726">
        <v>64000</v>
      </c>
      <c r="D1726">
        <v>176595</v>
      </c>
      <c r="E1726">
        <v>64000</v>
      </c>
      <c r="F1726">
        <v>64000</v>
      </c>
      <c r="G1726" s="1">
        <v>2.5000000000000001E-3</v>
      </c>
      <c r="H1726" s="1">
        <v>2.5000000000000001E-3</v>
      </c>
      <c r="I1726" s="1">
        <v>2.5000000000000001E-3</v>
      </c>
      <c r="J1726" s="1">
        <v>0.30830000000000002</v>
      </c>
    </row>
    <row r="1727" spans="1:10" x14ac:dyDescent="0.2">
      <c r="A1727" t="str">
        <f>"04/09/2019"</f>
        <v>04/09/2019</v>
      </c>
      <c r="B1727">
        <v>1</v>
      </c>
      <c r="C1727">
        <v>64000</v>
      </c>
      <c r="D1727">
        <v>182634</v>
      </c>
      <c r="E1727">
        <v>64000</v>
      </c>
      <c r="F1727">
        <v>64000</v>
      </c>
      <c r="G1727" s="1">
        <v>2.5000000000000001E-3</v>
      </c>
      <c r="H1727" s="1">
        <v>2.5000000000000001E-3</v>
      </c>
      <c r="I1727" s="1">
        <v>2.5000000000000001E-3</v>
      </c>
      <c r="J1727" s="1">
        <v>0.29649999999999999</v>
      </c>
    </row>
    <row r="1728" spans="1:10" x14ac:dyDescent="0.2">
      <c r="A1728" t="str">
        <f>"03/09/2019"</f>
        <v>03/09/2019</v>
      </c>
      <c r="B1728">
        <v>1</v>
      </c>
      <c r="C1728">
        <v>65000</v>
      </c>
      <c r="D1728">
        <v>169768</v>
      </c>
      <c r="E1728">
        <v>65000</v>
      </c>
      <c r="F1728">
        <v>65000</v>
      </c>
      <c r="G1728" s="1">
        <v>2.5000000000000001E-3</v>
      </c>
      <c r="H1728" s="1">
        <v>2.5000000000000001E-3</v>
      </c>
      <c r="I1728" s="1">
        <v>2.5000000000000001E-3</v>
      </c>
      <c r="J1728" s="1">
        <v>0.32969999999999999</v>
      </c>
    </row>
    <row r="1729" spans="1:10" x14ac:dyDescent="0.2">
      <c r="A1729" t="str">
        <f>"02/09/2019"</f>
        <v>02/09/2019</v>
      </c>
      <c r="B1729">
        <v>1</v>
      </c>
      <c r="C1729">
        <v>66000</v>
      </c>
      <c r="D1729">
        <v>153167</v>
      </c>
      <c r="E1729">
        <v>66000</v>
      </c>
      <c r="F1729">
        <v>66000</v>
      </c>
      <c r="G1729" s="1">
        <v>2.5000000000000001E-3</v>
      </c>
      <c r="H1729" s="1">
        <v>2.5000000000000001E-3</v>
      </c>
      <c r="I1729" s="1">
        <v>2.5000000000000001E-3</v>
      </c>
      <c r="J1729" s="1">
        <v>0.3896</v>
      </c>
    </row>
    <row r="1730" spans="1:10" x14ac:dyDescent="0.2">
      <c r="A1730" t="str">
        <f>"01/09/2019"</f>
        <v>01/09/2019</v>
      </c>
      <c r="B1730">
        <v>1</v>
      </c>
      <c r="C1730">
        <v>64000</v>
      </c>
      <c r="D1730">
        <v>126793</v>
      </c>
      <c r="E1730">
        <v>64000</v>
      </c>
      <c r="F1730">
        <v>64000</v>
      </c>
      <c r="G1730" s="1">
        <v>2.5000000000000001E-3</v>
      </c>
      <c r="H1730" s="1">
        <v>2.5000000000000001E-3</v>
      </c>
      <c r="I1730" s="1">
        <v>2.5000000000000001E-3</v>
      </c>
      <c r="J1730" s="1">
        <v>0.4541</v>
      </c>
    </row>
    <row r="1731" spans="1:10" x14ac:dyDescent="0.2">
      <c r="A1731" t="str">
        <f>"29/08/2019"</f>
        <v>29/08/2019</v>
      </c>
      <c r="B1731">
        <v>3</v>
      </c>
      <c r="C1731">
        <v>54000</v>
      </c>
      <c r="D1731">
        <v>88325</v>
      </c>
      <c r="E1731">
        <v>54000</v>
      </c>
      <c r="F1731">
        <v>54000</v>
      </c>
      <c r="G1731" s="1">
        <v>2.5000000000000001E-3</v>
      </c>
      <c r="H1731" s="1">
        <v>2.5000000000000001E-3</v>
      </c>
      <c r="I1731" s="1">
        <v>2.5000000000000001E-3</v>
      </c>
      <c r="J1731" s="1">
        <v>0.55769999999999997</v>
      </c>
    </row>
    <row r="1732" spans="1:10" x14ac:dyDescent="0.2">
      <c r="A1732" t="str">
        <f>"28/08/2019"</f>
        <v>28/08/2019</v>
      </c>
      <c r="B1732">
        <v>1</v>
      </c>
      <c r="C1732">
        <v>45000</v>
      </c>
      <c r="D1732">
        <v>43624</v>
      </c>
      <c r="E1732">
        <v>43624</v>
      </c>
      <c r="F1732">
        <v>43624</v>
      </c>
      <c r="G1732" s="1">
        <v>2.5000000000000001E-3</v>
      </c>
      <c r="H1732" s="1">
        <v>2.5000000000000001E-3</v>
      </c>
      <c r="I1732" s="1">
        <v>2.5000000000000001E-3</v>
      </c>
      <c r="J1732" s="1">
        <v>1</v>
      </c>
    </row>
    <row r="1733" spans="1:10" x14ac:dyDescent="0.2">
      <c r="A1733" t="str">
        <f>"27/08/2019"</f>
        <v>27/08/2019</v>
      </c>
      <c r="B1733">
        <v>1</v>
      </c>
      <c r="C1733">
        <v>43000</v>
      </c>
      <c r="D1733">
        <v>124895</v>
      </c>
      <c r="E1733">
        <v>43000</v>
      </c>
      <c r="F1733">
        <v>43000</v>
      </c>
      <c r="G1733" s="1">
        <v>2.5000000000000001E-3</v>
      </c>
      <c r="H1733" s="1">
        <v>2.5000000000000001E-3</v>
      </c>
      <c r="I1733" s="1">
        <v>2.5000000000000001E-3</v>
      </c>
      <c r="J1733" s="1">
        <v>0.29099999999999998</v>
      </c>
    </row>
    <row r="1734" spans="1:10" x14ac:dyDescent="0.2">
      <c r="A1734" t="str">
        <f>"26/08/2019"</f>
        <v>26/08/2019</v>
      </c>
      <c r="B1734">
        <v>1</v>
      </c>
      <c r="C1734">
        <v>43000</v>
      </c>
      <c r="D1734">
        <v>119926</v>
      </c>
      <c r="E1734">
        <v>43000</v>
      </c>
      <c r="F1734">
        <v>43000</v>
      </c>
      <c r="G1734" s="1">
        <v>2.5000000000000001E-3</v>
      </c>
      <c r="H1734" s="1">
        <v>2.5000000000000001E-3</v>
      </c>
      <c r="I1734" s="1">
        <v>2.5000000000000001E-3</v>
      </c>
      <c r="J1734" s="1">
        <v>0.30719999999999997</v>
      </c>
    </row>
    <row r="1735" spans="1:10" x14ac:dyDescent="0.2">
      <c r="A1735" t="str">
        <f>"25/08/2019"</f>
        <v>25/08/2019</v>
      </c>
      <c r="B1735">
        <v>1</v>
      </c>
      <c r="C1735">
        <v>42000</v>
      </c>
      <c r="D1735">
        <v>112718</v>
      </c>
      <c r="E1735">
        <v>42000</v>
      </c>
      <c r="F1735">
        <v>42000</v>
      </c>
      <c r="G1735" s="1">
        <v>2.5000000000000001E-3</v>
      </c>
      <c r="H1735" s="1">
        <v>2.5000000000000001E-3</v>
      </c>
      <c r="I1735" s="1">
        <v>2.5000000000000001E-3</v>
      </c>
      <c r="J1735" s="1">
        <v>0.31209999999999999</v>
      </c>
    </row>
    <row r="1736" spans="1:10" x14ac:dyDescent="0.2">
      <c r="A1736" t="str">
        <f>"22/08/2019"</f>
        <v>22/08/2019</v>
      </c>
      <c r="B1736">
        <v>3</v>
      </c>
      <c r="C1736">
        <v>47000</v>
      </c>
      <c r="D1736">
        <v>130765</v>
      </c>
      <c r="E1736">
        <v>47000</v>
      </c>
      <c r="F1736">
        <v>47000</v>
      </c>
      <c r="G1736" s="1">
        <v>2.5000000000000001E-3</v>
      </c>
      <c r="H1736" s="1">
        <v>2.5000000000000001E-3</v>
      </c>
      <c r="I1736" s="1">
        <v>2.5000000000000001E-3</v>
      </c>
      <c r="J1736" s="1">
        <v>0.30399999999999999</v>
      </c>
    </row>
    <row r="1737" spans="1:10" x14ac:dyDescent="0.2">
      <c r="A1737" t="str">
        <f>"21/08/2019"</f>
        <v>21/08/2019</v>
      </c>
      <c r="B1737">
        <v>1</v>
      </c>
      <c r="C1737">
        <v>47000</v>
      </c>
      <c r="D1737">
        <v>153685</v>
      </c>
      <c r="E1737">
        <v>47000</v>
      </c>
      <c r="F1737">
        <v>47000</v>
      </c>
      <c r="G1737" s="1">
        <v>2.5000000000000001E-3</v>
      </c>
      <c r="H1737" s="1">
        <v>2.5000000000000001E-3</v>
      </c>
      <c r="I1737" s="1">
        <v>2.5000000000000001E-3</v>
      </c>
      <c r="J1737" s="1">
        <v>0.25219999999999998</v>
      </c>
    </row>
    <row r="1738" spans="1:10" x14ac:dyDescent="0.2">
      <c r="A1738" t="str">
        <f>"20/08/2019"</f>
        <v>20/08/2019</v>
      </c>
      <c r="B1738">
        <v>1</v>
      </c>
      <c r="C1738">
        <v>47000</v>
      </c>
      <c r="D1738">
        <v>148817</v>
      </c>
      <c r="E1738">
        <v>47000</v>
      </c>
      <c r="F1738">
        <v>47000</v>
      </c>
      <c r="G1738" s="1">
        <v>2.5000000000000001E-3</v>
      </c>
      <c r="H1738" s="1">
        <v>2.5000000000000001E-3</v>
      </c>
      <c r="I1738" s="1">
        <v>2.5000000000000001E-3</v>
      </c>
      <c r="J1738" s="1">
        <v>0.25440000000000002</v>
      </c>
    </row>
    <row r="1739" spans="1:10" x14ac:dyDescent="0.2">
      <c r="A1739" t="str">
        <f>"19/08/2019"</f>
        <v>19/08/2019</v>
      </c>
      <c r="B1739">
        <v>1</v>
      </c>
      <c r="C1739">
        <v>48000</v>
      </c>
      <c r="D1739">
        <v>135750</v>
      </c>
      <c r="E1739">
        <v>48000</v>
      </c>
      <c r="F1739">
        <v>48000</v>
      </c>
      <c r="G1739" s="1">
        <v>2.5000000000000001E-3</v>
      </c>
      <c r="H1739" s="1">
        <v>2.5000000000000001E-3</v>
      </c>
      <c r="I1739" s="1">
        <v>2.5000000000000001E-3</v>
      </c>
      <c r="J1739" s="1">
        <v>0.28749999999999998</v>
      </c>
    </row>
    <row r="1740" spans="1:10" x14ac:dyDescent="0.2">
      <c r="A1740" t="str">
        <f>"18/08/2019"</f>
        <v>18/08/2019</v>
      </c>
      <c r="B1740">
        <v>1</v>
      </c>
      <c r="C1740">
        <v>48000</v>
      </c>
      <c r="D1740">
        <v>138981</v>
      </c>
      <c r="E1740">
        <v>48000</v>
      </c>
      <c r="F1740">
        <v>48000</v>
      </c>
      <c r="G1740" s="1">
        <v>2.5000000000000001E-3</v>
      </c>
      <c r="H1740" s="1">
        <v>2.5000000000000001E-3</v>
      </c>
      <c r="I1740" s="1">
        <v>2.5000000000000001E-3</v>
      </c>
      <c r="J1740" s="1">
        <v>0.28220000000000001</v>
      </c>
    </row>
    <row r="1741" spans="1:10" x14ac:dyDescent="0.2">
      <c r="A1741" t="str">
        <f>"15/08/2019"</f>
        <v>15/08/2019</v>
      </c>
      <c r="B1741">
        <v>3</v>
      </c>
      <c r="C1741">
        <v>55000</v>
      </c>
      <c r="D1741">
        <v>142703</v>
      </c>
      <c r="E1741">
        <v>55000</v>
      </c>
      <c r="F1741">
        <v>55000</v>
      </c>
      <c r="G1741" s="1">
        <v>2.5000000000000001E-3</v>
      </c>
      <c r="H1741" s="1">
        <v>2.5000000000000001E-3</v>
      </c>
      <c r="I1741" s="1">
        <v>2.5000000000000001E-3</v>
      </c>
      <c r="J1741" s="1">
        <v>0.32390000000000002</v>
      </c>
    </row>
    <row r="1742" spans="1:10" x14ac:dyDescent="0.2">
      <c r="A1742" t="str">
        <f>"14/08/2019"</f>
        <v>14/08/2019</v>
      </c>
      <c r="B1742">
        <v>1</v>
      </c>
      <c r="C1742">
        <v>57000</v>
      </c>
      <c r="D1742">
        <v>149762</v>
      </c>
      <c r="E1742">
        <v>57000</v>
      </c>
      <c r="F1742">
        <v>57000</v>
      </c>
      <c r="G1742" s="1">
        <v>2.5000000000000001E-3</v>
      </c>
      <c r="H1742" s="1">
        <v>2.5000000000000001E-3</v>
      </c>
      <c r="I1742" s="1">
        <v>2.5000000000000001E-3</v>
      </c>
      <c r="J1742" s="1">
        <v>0.30570000000000003</v>
      </c>
    </row>
    <row r="1743" spans="1:10" x14ac:dyDescent="0.2">
      <c r="A1743" t="str">
        <f>"13/08/2019"</f>
        <v>13/08/2019</v>
      </c>
      <c r="B1743">
        <v>1</v>
      </c>
      <c r="C1743">
        <v>59000</v>
      </c>
      <c r="D1743">
        <v>150025</v>
      </c>
      <c r="E1743">
        <v>59000</v>
      </c>
      <c r="F1743">
        <v>59000</v>
      </c>
      <c r="G1743" s="1">
        <v>2.5000000000000001E-3</v>
      </c>
      <c r="H1743" s="1">
        <v>2.5000000000000001E-3</v>
      </c>
      <c r="I1743" s="1">
        <v>2.5000000000000001E-3</v>
      </c>
      <c r="J1743" s="1">
        <v>0.31740000000000002</v>
      </c>
    </row>
    <row r="1744" spans="1:10" x14ac:dyDescent="0.2">
      <c r="A1744" t="str">
        <f>"12/08/2019"</f>
        <v>12/08/2019</v>
      </c>
      <c r="B1744">
        <v>1</v>
      </c>
      <c r="C1744">
        <v>61000</v>
      </c>
      <c r="D1744">
        <v>153568</v>
      </c>
      <c r="E1744">
        <v>61000</v>
      </c>
      <c r="F1744">
        <v>61000</v>
      </c>
      <c r="G1744" s="1">
        <v>2.5000000000000001E-3</v>
      </c>
      <c r="H1744" s="1">
        <v>2.5000000000000001E-3</v>
      </c>
      <c r="I1744" s="1">
        <v>2.5000000000000001E-3</v>
      </c>
      <c r="J1744" s="1">
        <v>0.3241</v>
      </c>
    </row>
    <row r="1745" spans="1:10" x14ac:dyDescent="0.2">
      <c r="A1745" t="str">
        <f>"08/08/2019"</f>
        <v>08/08/2019</v>
      </c>
      <c r="B1745">
        <v>4</v>
      </c>
      <c r="C1745">
        <v>61000</v>
      </c>
      <c r="D1745">
        <v>146331</v>
      </c>
      <c r="E1745">
        <v>61000</v>
      </c>
      <c r="F1745">
        <v>61000</v>
      </c>
      <c r="G1745" s="1">
        <v>2.5000000000000001E-3</v>
      </c>
      <c r="H1745" s="1">
        <v>2.5000000000000001E-3</v>
      </c>
      <c r="I1745" s="1">
        <v>2.5000000000000001E-3</v>
      </c>
      <c r="J1745" s="1">
        <v>0.35160000000000002</v>
      </c>
    </row>
    <row r="1746" spans="1:10" x14ac:dyDescent="0.2">
      <c r="A1746" t="str">
        <f>"07/08/2019"</f>
        <v>07/08/2019</v>
      </c>
      <c r="B1746">
        <v>1</v>
      </c>
      <c r="C1746">
        <v>61000</v>
      </c>
      <c r="D1746">
        <v>146438</v>
      </c>
      <c r="E1746">
        <v>61000</v>
      </c>
      <c r="F1746">
        <v>61000</v>
      </c>
      <c r="G1746" s="1">
        <v>2.5000000000000001E-3</v>
      </c>
      <c r="H1746" s="1">
        <v>2.5000000000000001E-3</v>
      </c>
      <c r="I1746" s="1">
        <v>2.5000000000000001E-3</v>
      </c>
      <c r="J1746" s="1">
        <v>0.35489999999999999</v>
      </c>
    </row>
    <row r="1747" spans="1:10" x14ac:dyDescent="0.2">
      <c r="A1747" t="str">
        <f>"06/08/2019"</f>
        <v>06/08/2019</v>
      </c>
      <c r="B1747">
        <v>1</v>
      </c>
      <c r="C1747">
        <v>61000</v>
      </c>
      <c r="D1747">
        <v>132605</v>
      </c>
      <c r="E1747">
        <v>61000</v>
      </c>
      <c r="F1747">
        <v>61000</v>
      </c>
      <c r="G1747" s="1">
        <v>2.5000000000000001E-3</v>
      </c>
      <c r="H1747" s="1">
        <v>2.5000000000000001E-3</v>
      </c>
      <c r="I1747" s="1">
        <v>2.5000000000000001E-3</v>
      </c>
      <c r="J1747" s="1">
        <v>0.39850000000000002</v>
      </c>
    </row>
    <row r="1748" spans="1:10" x14ac:dyDescent="0.2">
      <c r="A1748" t="str">
        <f>"05/08/2019"</f>
        <v>05/08/2019</v>
      </c>
      <c r="B1748">
        <v>1</v>
      </c>
      <c r="C1748">
        <v>62000</v>
      </c>
      <c r="D1748">
        <v>130688</v>
      </c>
      <c r="E1748">
        <v>62000</v>
      </c>
      <c r="F1748">
        <v>62000</v>
      </c>
      <c r="G1748" s="1">
        <v>2.5000000000000001E-3</v>
      </c>
      <c r="H1748" s="1">
        <v>2.5000000000000001E-3</v>
      </c>
      <c r="I1748" s="1">
        <v>2.5000000000000001E-3</v>
      </c>
      <c r="J1748" s="1">
        <v>0.41210000000000002</v>
      </c>
    </row>
    <row r="1749" spans="1:10" x14ac:dyDescent="0.2">
      <c r="A1749" t="str">
        <f>"04/08/2019"</f>
        <v>04/08/2019</v>
      </c>
      <c r="B1749">
        <v>1</v>
      </c>
      <c r="C1749">
        <v>62000</v>
      </c>
      <c r="D1749">
        <v>132023</v>
      </c>
      <c r="E1749">
        <v>62000</v>
      </c>
      <c r="F1749">
        <v>62000</v>
      </c>
      <c r="G1749" s="1">
        <v>2.5000000000000001E-3</v>
      </c>
      <c r="H1749" s="1">
        <v>2.5000000000000001E-3</v>
      </c>
      <c r="I1749" s="1">
        <v>2.5000000000000001E-3</v>
      </c>
      <c r="J1749" s="1">
        <v>0.40939999999999999</v>
      </c>
    </row>
    <row r="1750" spans="1:10" x14ac:dyDescent="0.2">
      <c r="A1750" t="str">
        <f>"01/08/2019"</f>
        <v>01/08/2019</v>
      </c>
      <c r="B1750">
        <v>3</v>
      </c>
      <c r="C1750">
        <v>63000</v>
      </c>
      <c r="D1750">
        <v>129112</v>
      </c>
      <c r="E1750">
        <v>63000</v>
      </c>
      <c r="F1750">
        <v>63000</v>
      </c>
      <c r="G1750" s="1">
        <v>2.5000000000000001E-3</v>
      </c>
      <c r="H1750" s="1">
        <v>2.5000000000000001E-3</v>
      </c>
      <c r="I1750" s="1">
        <v>2.5000000000000001E-3</v>
      </c>
      <c r="J1750" s="1">
        <v>0.43330000000000002</v>
      </c>
    </row>
    <row r="1751" spans="1:10" x14ac:dyDescent="0.2">
      <c r="A1751" t="str">
        <f>"31/07/2019"</f>
        <v>31/07/2019</v>
      </c>
      <c r="B1751">
        <v>1</v>
      </c>
      <c r="C1751">
        <v>56000</v>
      </c>
      <c r="D1751">
        <v>113677</v>
      </c>
      <c r="E1751">
        <v>56000</v>
      </c>
      <c r="F1751">
        <v>56000</v>
      </c>
      <c r="G1751" s="1">
        <v>2.5000000000000001E-3</v>
      </c>
      <c r="H1751" s="1">
        <v>2.5000000000000001E-3</v>
      </c>
      <c r="I1751" s="1">
        <v>2.5000000000000001E-3</v>
      </c>
      <c r="J1751" s="1">
        <v>0.43630000000000002</v>
      </c>
    </row>
    <row r="1752" spans="1:10" x14ac:dyDescent="0.2">
      <c r="A1752" t="str">
        <f>"30/07/2019"</f>
        <v>30/07/2019</v>
      </c>
      <c r="B1752">
        <v>1</v>
      </c>
      <c r="C1752">
        <v>54000</v>
      </c>
      <c r="D1752">
        <v>101199</v>
      </c>
      <c r="E1752">
        <v>54000</v>
      </c>
      <c r="F1752">
        <v>54000</v>
      </c>
      <c r="G1752" s="1">
        <v>2.5000000000000001E-3</v>
      </c>
      <c r="H1752" s="1">
        <v>2.5000000000000001E-3</v>
      </c>
      <c r="I1752" s="1">
        <v>2.5000000000000001E-3</v>
      </c>
      <c r="J1752" s="1">
        <v>0.4793</v>
      </c>
    </row>
    <row r="1753" spans="1:10" x14ac:dyDescent="0.2">
      <c r="A1753" t="str">
        <f>"29/07/2019"</f>
        <v>29/07/2019</v>
      </c>
      <c r="B1753">
        <v>1</v>
      </c>
      <c r="C1753">
        <v>55000</v>
      </c>
      <c r="D1753">
        <v>99791</v>
      </c>
      <c r="E1753">
        <v>55000</v>
      </c>
      <c r="F1753">
        <v>55000</v>
      </c>
      <c r="G1753" s="1">
        <v>2.5000000000000001E-3</v>
      </c>
      <c r="H1753" s="1">
        <v>2.5000000000000001E-3</v>
      </c>
      <c r="I1753" s="1">
        <v>2.5000000000000001E-3</v>
      </c>
      <c r="J1753" s="1">
        <v>0.48670000000000002</v>
      </c>
    </row>
    <row r="1754" spans="1:10" x14ac:dyDescent="0.2">
      <c r="A1754" t="str">
        <f>"28/07/2019"</f>
        <v>28/07/2019</v>
      </c>
      <c r="B1754">
        <v>1</v>
      </c>
      <c r="C1754">
        <v>55000</v>
      </c>
      <c r="D1754">
        <v>105727</v>
      </c>
      <c r="E1754">
        <v>55000</v>
      </c>
      <c r="F1754">
        <v>55000</v>
      </c>
      <c r="G1754" s="1">
        <v>2.5000000000000001E-3</v>
      </c>
      <c r="H1754" s="1">
        <v>2.5000000000000001E-3</v>
      </c>
      <c r="I1754" s="1">
        <v>2.5000000000000001E-3</v>
      </c>
      <c r="J1754" s="1">
        <v>0.4647</v>
      </c>
    </row>
    <row r="1755" spans="1:10" x14ac:dyDescent="0.2">
      <c r="A1755" t="str">
        <f>"25/07/2019"</f>
        <v>25/07/2019</v>
      </c>
      <c r="B1755">
        <v>3</v>
      </c>
      <c r="C1755">
        <v>51000</v>
      </c>
      <c r="D1755">
        <v>92536</v>
      </c>
      <c r="E1755">
        <v>51000</v>
      </c>
      <c r="F1755">
        <v>51000</v>
      </c>
      <c r="G1755" s="1">
        <v>2.5000000000000001E-3</v>
      </c>
      <c r="H1755" s="1">
        <v>2.5000000000000001E-3</v>
      </c>
      <c r="I1755" s="1">
        <v>2.5000000000000001E-3</v>
      </c>
      <c r="J1755" s="1">
        <v>0.49049999999999999</v>
      </c>
    </row>
    <row r="1756" spans="1:10" x14ac:dyDescent="0.2">
      <c r="A1756" t="str">
        <f>"24/07/2019"</f>
        <v>24/07/2019</v>
      </c>
      <c r="B1756">
        <v>1</v>
      </c>
      <c r="C1756">
        <v>50000</v>
      </c>
      <c r="D1756">
        <v>89331</v>
      </c>
      <c r="E1756">
        <v>50000</v>
      </c>
      <c r="F1756">
        <v>50000</v>
      </c>
      <c r="G1756" s="1">
        <v>2.5000000000000001E-3</v>
      </c>
      <c r="H1756" s="1">
        <v>2.5000000000000001E-3</v>
      </c>
      <c r="I1756" s="1">
        <v>2.5000000000000001E-3</v>
      </c>
      <c r="J1756" s="1">
        <v>0.4829</v>
      </c>
    </row>
    <row r="1757" spans="1:10" x14ac:dyDescent="0.2">
      <c r="A1757" t="str">
        <f>"23/07/2019"</f>
        <v>23/07/2019</v>
      </c>
      <c r="B1757">
        <v>1</v>
      </c>
      <c r="C1757">
        <v>52000</v>
      </c>
      <c r="D1757">
        <v>94687</v>
      </c>
      <c r="E1757">
        <v>52000</v>
      </c>
      <c r="F1757">
        <v>52000</v>
      </c>
      <c r="G1757" s="1">
        <v>2.5000000000000001E-3</v>
      </c>
      <c r="H1757" s="1">
        <v>2.5000000000000001E-3</v>
      </c>
      <c r="I1757" s="1">
        <v>2.5000000000000001E-3</v>
      </c>
      <c r="J1757" s="1">
        <v>0.4763</v>
      </c>
    </row>
    <row r="1758" spans="1:10" x14ac:dyDescent="0.2">
      <c r="A1758" t="str">
        <f>"22/07/2019"</f>
        <v>22/07/2019</v>
      </c>
      <c r="B1758">
        <v>1</v>
      </c>
      <c r="C1758">
        <v>54000</v>
      </c>
      <c r="D1758">
        <v>103770</v>
      </c>
      <c r="E1758">
        <v>54000</v>
      </c>
      <c r="F1758">
        <v>54000</v>
      </c>
      <c r="G1758" s="1">
        <v>2.5000000000000001E-3</v>
      </c>
      <c r="H1758" s="1">
        <v>2.5000000000000001E-3</v>
      </c>
      <c r="I1758" s="1">
        <v>2.5000000000000001E-3</v>
      </c>
      <c r="J1758" s="1">
        <v>0.44990000000000002</v>
      </c>
    </row>
    <row r="1759" spans="1:10" x14ac:dyDescent="0.2">
      <c r="A1759" t="str">
        <f>"21/07/2019"</f>
        <v>21/07/2019</v>
      </c>
      <c r="B1759">
        <v>1</v>
      </c>
      <c r="C1759">
        <v>56000</v>
      </c>
      <c r="D1759">
        <v>108954</v>
      </c>
      <c r="E1759">
        <v>56000</v>
      </c>
      <c r="F1759">
        <v>56000</v>
      </c>
      <c r="G1759" s="1">
        <v>2.5000000000000001E-3</v>
      </c>
      <c r="H1759" s="1">
        <v>2.5000000000000001E-3</v>
      </c>
      <c r="I1759" s="1">
        <v>2.5000000000000001E-3</v>
      </c>
      <c r="J1759" s="1">
        <v>0.46</v>
      </c>
    </row>
    <row r="1760" spans="1:10" x14ac:dyDescent="0.2">
      <c r="A1760" t="str">
        <f>"18/07/2019"</f>
        <v>18/07/2019</v>
      </c>
      <c r="B1760">
        <v>3</v>
      </c>
      <c r="C1760">
        <v>58000</v>
      </c>
      <c r="D1760">
        <v>119156</v>
      </c>
      <c r="E1760">
        <v>58000</v>
      </c>
      <c r="F1760">
        <v>58000</v>
      </c>
      <c r="G1760" s="1">
        <v>2.5000000000000001E-3</v>
      </c>
      <c r="H1760" s="1">
        <v>2.5000000000000001E-3</v>
      </c>
      <c r="I1760" s="1">
        <v>2.5000000000000001E-3</v>
      </c>
      <c r="J1760" s="1">
        <v>0.434</v>
      </c>
    </row>
    <row r="1761" spans="1:10" x14ac:dyDescent="0.2">
      <c r="A1761" t="str">
        <f>"17/07/2019"</f>
        <v>17/07/2019</v>
      </c>
      <c r="B1761">
        <v>1</v>
      </c>
      <c r="C1761">
        <v>60000</v>
      </c>
      <c r="D1761">
        <v>129597</v>
      </c>
      <c r="E1761">
        <v>60000</v>
      </c>
      <c r="F1761">
        <v>60000</v>
      </c>
      <c r="G1761" s="1">
        <v>2.5000000000000001E-3</v>
      </c>
      <c r="H1761" s="1">
        <v>2.5000000000000001E-3</v>
      </c>
      <c r="I1761" s="1">
        <v>2.5000000000000001E-3</v>
      </c>
      <c r="J1761" s="1">
        <v>0.41170000000000001</v>
      </c>
    </row>
    <row r="1762" spans="1:10" x14ac:dyDescent="0.2">
      <c r="A1762" t="str">
        <f>"16/07/2019"</f>
        <v>16/07/2019</v>
      </c>
      <c r="B1762">
        <v>1</v>
      </c>
      <c r="C1762">
        <v>60000</v>
      </c>
      <c r="D1762">
        <v>134759</v>
      </c>
      <c r="E1762">
        <v>60000</v>
      </c>
      <c r="F1762">
        <v>60000</v>
      </c>
      <c r="G1762" s="1">
        <v>2.5000000000000001E-3</v>
      </c>
      <c r="H1762" s="1">
        <v>2.5000000000000001E-3</v>
      </c>
      <c r="I1762" s="1">
        <v>2.5000000000000001E-3</v>
      </c>
      <c r="J1762" s="1">
        <v>0.39560000000000001</v>
      </c>
    </row>
    <row r="1763" spans="1:10" x14ac:dyDescent="0.2">
      <c r="A1763" t="str">
        <f>"15/07/2019"</f>
        <v>15/07/2019</v>
      </c>
      <c r="B1763">
        <v>1</v>
      </c>
      <c r="C1763">
        <v>70000</v>
      </c>
      <c r="D1763">
        <v>152965</v>
      </c>
      <c r="E1763">
        <v>70000</v>
      </c>
      <c r="F1763">
        <v>70000</v>
      </c>
      <c r="G1763" s="1">
        <v>2.5000000000000001E-3</v>
      </c>
      <c r="H1763" s="1">
        <v>2.5000000000000001E-3</v>
      </c>
      <c r="I1763" s="1">
        <v>2.5000000000000001E-3</v>
      </c>
      <c r="J1763" s="1">
        <v>0.40699999999999997</v>
      </c>
    </row>
    <row r="1764" spans="1:10" x14ac:dyDescent="0.2">
      <c r="A1764" t="str">
        <f>"14/07/2019"</f>
        <v>14/07/2019</v>
      </c>
      <c r="B1764">
        <v>1</v>
      </c>
      <c r="C1764">
        <v>71000</v>
      </c>
      <c r="D1764">
        <v>142129</v>
      </c>
      <c r="E1764">
        <v>71000</v>
      </c>
      <c r="F1764">
        <v>71000</v>
      </c>
      <c r="G1764" s="1">
        <v>2.5000000000000001E-3</v>
      </c>
      <c r="H1764" s="1">
        <v>2.5000000000000001E-3</v>
      </c>
      <c r="I1764" s="1">
        <v>2.5000000000000001E-3</v>
      </c>
      <c r="J1764" s="1">
        <v>0.4516</v>
      </c>
    </row>
    <row r="1765" spans="1:10" x14ac:dyDescent="0.2">
      <c r="A1765" t="str">
        <f>"11/07/2019"</f>
        <v>11/07/2019</v>
      </c>
      <c r="B1765">
        <v>3</v>
      </c>
      <c r="C1765">
        <v>71000</v>
      </c>
      <c r="D1765">
        <v>116827</v>
      </c>
      <c r="E1765">
        <v>71000</v>
      </c>
      <c r="F1765">
        <v>71000</v>
      </c>
      <c r="G1765" s="1">
        <v>2.5000000000000001E-3</v>
      </c>
      <c r="H1765" s="1">
        <v>2.5000000000000001E-3</v>
      </c>
      <c r="I1765" s="1">
        <v>2.5000000000000001E-3</v>
      </c>
      <c r="J1765" s="1">
        <v>0.55759999999999998</v>
      </c>
    </row>
    <row r="1766" spans="1:10" x14ac:dyDescent="0.2">
      <c r="A1766" t="str">
        <f>"10/07/2019"</f>
        <v>10/07/2019</v>
      </c>
      <c r="B1766">
        <v>1</v>
      </c>
      <c r="C1766">
        <v>68000</v>
      </c>
      <c r="D1766">
        <v>69598</v>
      </c>
      <c r="E1766">
        <v>68000</v>
      </c>
      <c r="F1766">
        <v>68000</v>
      </c>
      <c r="G1766" s="1">
        <v>2.5000000000000001E-3</v>
      </c>
      <c r="H1766" s="1">
        <v>2.5000000000000001E-3</v>
      </c>
      <c r="I1766" s="1">
        <v>2.5000000000000001E-3</v>
      </c>
      <c r="J1766" s="1">
        <v>0.96089999999999998</v>
      </c>
    </row>
    <row r="1767" spans="1:10" x14ac:dyDescent="0.2">
      <c r="A1767" t="str">
        <f>"09/07/2019"</f>
        <v>09/07/2019</v>
      </c>
      <c r="B1767">
        <v>1</v>
      </c>
      <c r="C1767">
        <v>68000</v>
      </c>
      <c r="D1767">
        <v>117883</v>
      </c>
      <c r="E1767">
        <v>68000</v>
      </c>
      <c r="F1767">
        <v>68000</v>
      </c>
      <c r="G1767" s="1">
        <v>2.5000000000000001E-3</v>
      </c>
      <c r="H1767" s="1">
        <v>2.5000000000000001E-3</v>
      </c>
      <c r="I1767" s="1">
        <v>2.5000000000000001E-3</v>
      </c>
      <c r="J1767" s="1">
        <v>0.47789999999999999</v>
      </c>
    </row>
    <row r="1768" spans="1:10" x14ac:dyDescent="0.2">
      <c r="A1768" t="str">
        <f>"08/07/2019"</f>
        <v>08/07/2019</v>
      </c>
      <c r="B1768">
        <v>1</v>
      </c>
      <c r="C1768">
        <v>68000</v>
      </c>
      <c r="D1768">
        <v>138090</v>
      </c>
      <c r="E1768">
        <v>68000</v>
      </c>
      <c r="F1768">
        <v>68000</v>
      </c>
      <c r="G1768" s="1">
        <v>2.5000000000000001E-3</v>
      </c>
      <c r="H1768" s="1">
        <v>2.5000000000000001E-3</v>
      </c>
      <c r="I1768" s="1">
        <v>2.5000000000000001E-3</v>
      </c>
      <c r="J1768" s="1">
        <v>0.4143</v>
      </c>
    </row>
    <row r="1769" spans="1:10" x14ac:dyDescent="0.2">
      <c r="A1769" t="str">
        <f>"07/07/2019"</f>
        <v>07/07/2019</v>
      </c>
      <c r="B1769">
        <v>1</v>
      </c>
      <c r="C1769">
        <v>68000</v>
      </c>
      <c r="D1769">
        <v>135199</v>
      </c>
      <c r="E1769">
        <v>68000</v>
      </c>
      <c r="F1769">
        <v>68000</v>
      </c>
      <c r="G1769" s="1">
        <v>2.5000000000000001E-3</v>
      </c>
      <c r="H1769" s="1">
        <v>2.5000000000000001E-3</v>
      </c>
      <c r="I1769" s="1">
        <v>2.5000000000000001E-3</v>
      </c>
      <c r="J1769" s="1">
        <v>0.4597</v>
      </c>
    </row>
    <row r="1770" spans="1:10" x14ac:dyDescent="0.2">
      <c r="A1770" t="str">
        <f>"04/07/2019"</f>
        <v>04/07/2019</v>
      </c>
      <c r="B1770">
        <v>3</v>
      </c>
      <c r="C1770">
        <v>68000</v>
      </c>
      <c r="D1770">
        <v>135282</v>
      </c>
      <c r="E1770">
        <v>68000</v>
      </c>
      <c r="F1770">
        <v>68000</v>
      </c>
      <c r="G1770" s="1">
        <v>2.5000000000000001E-3</v>
      </c>
      <c r="H1770" s="1">
        <v>2.5000000000000001E-3</v>
      </c>
      <c r="I1770" s="1">
        <v>2.5000000000000001E-3</v>
      </c>
      <c r="J1770" s="1">
        <v>0.45150000000000001</v>
      </c>
    </row>
    <row r="1771" spans="1:10" x14ac:dyDescent="0.2">
      <c r="A1771" t="str">
        <f>"03/07/2019"</f>
        <v>03/07/2019</v>
      </c>
      <c r="B1771">
        <v>1</v>
      </c>
      <c r="C1771">
        <v>67000</v>
      </c>
      <c r="D1771">
        <v>138298</v>
      </c>
      <c r="E1771">
        <v>67000</v>
      </c>
      <c r="F1771">
        <v>67000</v>
      </c>
      <c r="G1771" s="1">
        <v>2.5000000000000001E-3</v>
      </c>
      <c r="H1771" s="1">
        <v>2.5000000000000001E-3</v>
      </c>
      <c r="I1771" s="1">
        <v>2.5000000000000001E-3</v>
      </c>
      <c r="J1771" s="1">
        <v>0.42420000000000002</v>
      </c>
    </row>
    <row r="1772" spans="1:10" x14ac:dyDescent="0.2">
      <c r="A1772" t="str">
        <f>"02/07/2019"</f>
        <v>02/07/2019</v>
      </c>
      <c r="B1772">
        <v>1</v>
      </c>
      <c r="C1772">
        <v>68000</v>
      </c>
      <c r="D1772">
        <v>141001</v>
      </c>
      <c r="E1772">
        <v>68000</v>
      </c>
      <c r="F1772">
        <v>68000</v>
      </c>
      <c r="G1772" s="1">
        <v>2.5000000000000001E-3</v>
      </c>
      <c r="H1772" s="1">
        <v>2.5000000000000001E-3</v>
      </c>
      <c r="I1772" s="1">
        <v>2.5000000000000001E-3</v>
      </c>
      <c r="J1772" s="1">
        <v>0.42249999999999999</v>
      </c>
    </row>
    <row r="1773" spans="1:10" x14ac:dyDescent="0.2">
      <c r="A1773" t="str">
        <f>"01/07/2019"</f>
        <v>01/07/2019</v>
      </c>
      <c r="B1773">
        <v>1</v>
      </c>
      <c r="C1773">
        <v>67000</v>
      </c>
      <c r="D1773">
        <v>127504</v>
      </c>
      <c r="E1773">
        <v>67000</v>
      </c>
      <c r="F1773">
        <v>67000</v>
      </c>
      <c r="G1773" s="1">
        <v>2.5000000000000001E-3</v>
      </c>
      <c r="H1773" s="1">
        <v>2.5000000000000001E-3</v>
      </c>
      <c r="I1773" s="1">
        <v>2.5000000000000001E-3</v>
      </c>
      <c r="J1773" s="1">
        <v>0.46899999999999997</v>
      </c>
    </row>
    <row r="1774" spans="1:10" x14ac:dyDescent="0.2">
      <c r="A1774" t="str">
        <f>"30/06/2019"</f>
        <v>30/06/2019</v>
      </c>
      <c r="B1774">
        <v>1</v>
      </c>
      <c r="C1774">
        <v>57000</v>
      </c>
      <c r="D1774">
        <v>100360</v>
      </c>
      <c r="E1774">
        <v>57000</v>
      </c>
      <c r="F1774">
        <v>57000</v>
      </c>
      <c r="G1774" s="1">
        <v>2.5000000000000001E-3</v>
      </c>
      <c r="H1774" s="1">
        <v>2.5000000000000001E-3</v>
      </c>
      <c r="I1774" s="1">
        <v>2.5000000000000001E-3</v>
      </c>
      <c r="J1774" s="1">
        <v>0.51549999999999996</v>
      </c>
    </row>
    <row r="1775" spans="1:10" x14ac:dyDescent="0.2">
      <c r="A1775" t="str">
        <f>"27/06/2019"</f>
        <v>27/06/2019</v>
      </c>
      <c r="B1775">
        <v>3</v>
      </c>
      <c r="C1775">
        <v>53000</v>
      </c>
      <c r="D1775">
        <v>92350</v>
      </c>
      <c r="E1775">
        <v>53000</v>
      </c>
      <c r="F1775">
        <v>53000</v>
      </c>
      <c r="G1775" s="1">
        <v>2.5000000000000001E-3</v>
      </c>
      <c r="H1775" s="1">
        <v>2.5000000000000001E-3</v>
      </c>
      <c r="I1775" s="1">
        <v>2.5000000000000001E-3</v>
      </c>
      <c r="J1775" s="1">
        <v>0.52400000000000002</v>
      </c>
    </row>
    <row r="1776" spans="1:10" x14ac:dyDescent="0.2">
      <c r="A1776" t="str">
        <f>"26/06/2019"</f>
        <v>26/06/2019</v>
      </c>
      <c r="B1776">
        <v>1</v>
      </c>
      <c r="C1776">
        <v>51000</v>
      </c>
      <c r="D1776">
        <v>92435</v>
      </c>
      <c r="E1776">
        <v>51000</v>
      </c>
      <c r="F1776">
        <v>51000</v>
      </c>
      <c r="G1776" s="1">
        <v>2.5000000000000001E-3</v>
      </c>
      <c r="H1776" s="1">
        <v>2.5000000000000001E-3</v>
      </c>
      <c r="I1776" s="1">
        <v>2.5000000000000001E-3</v>
      </c>
      <c r="J1776" s="1">
        <v>0.49009999999999998</v>
      </c>
    </row>
    <row r="1777" spans="1:10" x14ac:dyDescent="0.2">
      <c r="A1777" t="str">
        <f>"25/06/2019"</f>
        <v>25/06/2019</v>
      </c>
      <c r="B1777">
        <v>1</v>
      </c>
      <c r="C1777">
        <v>52000</v>
      </c>
      <c r="D1777">
        <v>93298</v>
      </c>
      <c r="E1777">
        <v>52000</v>
      </c>
      <c r="F1777">
        <v>52000</v>
      </c>
      <c r="G1777" s="1">
        <v>2.5000000000000001E-3</v>
      </c>
      <c r="H1777" s="1">
        <v>2.5000000000000001E-3</v>
      </c>
      <c r="I1777" s="1">
        <v>2.5000000000000001E-3</v>
      </c>
      <c r="J1777" s="1">
        <v>0.4965</v>
      </c>
    </row>
    <row r="1778" spans="1:10" x14ac:dyDescent="0.2">
      <c r="A1778" t="str">
        <f>"24/06/2019"</f>
        <v>24/06/2019</v>
      </c>
      <c r="B1778">
        <v>1</v>
      </c>
      <c r="C1778">
        <v>52000</v>
      </c>
      <c r="D1778">
        <v>89339</v>
      </c>
      <c r="E1778">
        <v>52000</v>
      </c>
      <c r="F1778">
        <v>52000</v>
      </c>
      <c r="G1778" s="1">
        <v>2.5000000000000001E-3</v>
      </c>
      <c r="H1778" s="1">
        <v>2.5000000000000001E-3</v>
      </c>
      <c r="I1778" s="1">
        <v>2.5000000000000001E-3</v>
      </c>
      <c r="J1778" s="1">
        <v>0.53590000000000004</v>
      </c>
    </row>
    <row r="1779" spans="1:10" x14ac:dyDescent="0.2">
      <c r="A1779" t="str">
        <f>"23/06/2019"</f>
        <v>23/06/2019</v>
      </c>
      <c r="B1779">
        <v>1</v>
      </c>
      <c r="C1779">
        <v>54000</v>
      </c>
      <c r="D1779">
        <v>87872</v>
      </c>
      <c r="E1779">
        <v>54000</v>
      </c>
      <c r="F1779">
        <v>54000</v>
      </c>
      <c r="G1779" s="1">
        <v>2.5000000000000001E-3</v>
      </c>
      <c r="H1779" s="1">
        <v>2.5000000000000001E-3</v>
      </c>
      <c r="I1779" s="1">
        <v>2.5000000000000001E-3</v>
      </c>
      <c r="J1779" s="1">
        <v>0.57840000000000003</v>
      </c>
    </row>
    <row r="1780" spans="1:10" x14ac:dyDescent="0.2">
      <c r="A1780" t="str">
        <f>"20/06/2019"</f>
        <v>20/06/2019</v>
      </c>
      <c r="B1780">
        <v>3</v>
      </c>
      <c r="C1780">
        <v>57000</v>
      </c>
      <c r="D1780">
        <v>103044</v>
      </c>
      <c r="E1780">
        <v>57000</v>
      </c>
      <c r="F1780">
        <v>57000</v>
      </c>
      <c r="G1780" s="1">
        <v>2.5000000000000001E-3</v>
      </c>
      <c r="H1780" s="1">
        <v>2.5000000000000001E-3</v>
      </c>
      <c r="I1780" s="1">
        <v>2.5000000000000001E-3</v>
      </c>
      <c r="J1780" s="1">
        <v>0.50960000000000005</v>
      </c>
    </row>
    <row r="1781" spans="1:10" x14ac:dyDescent="0.2">
      <c r="A1781" t="str">
        <f>"19/06/2019"</f>
        <v>19/06/2019</v>
      </c>
      <c r="B1781">
        <v>1</v>
      </c>
      <c r="C1781">
        <v>59000</v>
      </c>
      <c r="D1781">
        <v>110722</v>
      </c>
      <c r="E1781">
        <v>59000</v>
      </c>
      <c r="F1781">
        <v>59000</v>
      </c>
      <c r="G1781" s="1">
        <v>2.5000000000000001E-3</v>
      </c>
      <c r="H1781" s="1">
        <v>2.5000000000000001E-3</v>
      </c>
      <c r="I1781" s="1">
        <v>2.5000000000000001E-3</v>
      </c>
      <c r="J1781" s="1">
        <v>0.48330000000000001</v>
      </c>
    </row>
    <row r="1782" spans="1:10" x14ac:dyDescent="0.2">
      <c r="A1782" t="str">
        <f>"18/06/2019"</f>
        <v>18/06/2019</v>
      </c>
      <c r="B1782">
        <v>1</v>
      </c>
      <c r="C1782">
        <v>61000</v>
      </c>
      <c r="D1782">
        <v>115519</v>
      </c>
      <c r="E1782">
        <v>61000</v>
      </c>
      <c r="F1782">
        <v>61000</v>
      </c>
      <c r="G1782" s="1">
        <v>2.5000000000000001E-3</v>
      </c>
      <c r="H1782" s="1">
        <v>2.5000000000000001E-3</v>
      </c>
      <c r="I1782" s="1">
        <v>2.5000000000000001E-3</v>
      </c>
      <c r="J1782" s="1">
        <v>0.4829</v>
      </c>
    </row>
    <row r="1783" spans="1:10" x14ac:dyDescent="0.2">
      <c r="A1783" t="str">
        <f>"17/06/2019"</f>
        <v>17/06/2019</v>
      </c>
      <c r="B1783">
        <v>1</v>
      </c>
      <c r="C1783">
        <v>62000</v>
      </c>
      <c r="D1783">
        <v>122528</v>
      </c>
      <c r="E1783">
        <v>62000</v>
      </c>
      <c r="F1783">
        <v>62000</v>
      </c>
      <c r="G1783" s="1">
        <v>2.5000000000000001E-3</v>
      </c>
      <c r="H1783" s="1">
        <v>2.5000000000000001E-3</v>
      </c>
      <c r="I1783" s="1">
        <v>2.5000000000000001E-3</v>
      </c>
      <c r="J1783" s="1">
        <v>0.45679999999999998</v>
      </c>
    </row>
    <row r="1784" spans="1:10" x14ac:dyDescent="0.2">
      <c r="A1784" t="str">
        <f>"16/06/2019"</f>
        <v>16/06/2019</v>
      </c>
      <c r="B1784">
        <v>1</v>
      </c>
      <c r="C1784">
        <v>69000</v>
      </c>
      <c r="D1784">
        <v>144697</v>
      </c>
      <c r="E1784">
        <v>69000</v>
      </c>
      <c r="F1784">
        <v>69000</v>
      </c>
      <c r="G1784" s="1">
        <v>2.5000000000000001E-3</v>
      </c>
      <c r="H1784" s="1">
        <v>2.5000000000000001E-3</v>
      </c>
      <c r="I1784" s="1">
        <v>2.5000000000000001E-3</v>
      </c>
      <c r="J1784" s="1">
        <v>0.44540000000000002</v>
      </c>
    </row>
    <row r="1785" spans="1:10" x14ac:dyDescent="0.2">
      <c r="A1785" t="str">
        <f>"13/06/2019"</f>
        <v>13/06/2019</v>
      </c>
      <c r="B1785">
        <v>3</v>
      </c>
      <c r="C1785">
        <v>73000</v>
      </c>
      <c r="D1785">
        <v>153763</v>
      </c>
      <c r="E1785">
        <v>73000</v>
      </c>
      <c r="F1785">
        <v>73000</v>
      </c>
      <c r="G1785" s="1">
        <v>2.5000000000000001E-3</v>
      </c>
      <c r="H1785" s="1">
        <v>2.5000000000000001E-3</v>
      </c>
      <c r="I1785" s="1">
        <v>2.5000000000000001E-3</v>
      </c>
      <c r="J1785" s="1">
        <v>0.4299</v>
      </c>
    </row>
    <row r="1786" spans="1:10" x14ac:dyDescent="0.2">
      <c r="A1786" t="str">
        <f>"12/06/2019"</f>
        <v>12/06/2019</v>
      </c>
      <c r="B1786">
        <v>1</v>
      </c>
      <c r="C1786">
        <v>74000</v>
      </c>
      <c r="D1786">
        <v>163868</v>
      </c>
      <c r="E1786">
        <v>74000</v>
      </c>
      <c r="F1786">
        <v>74000</v>
      </c>
      <c r="G1786" s="1">
        <v>2.5000000000000001E-3</v>
      </c>
      <c r="H1786" s="1">
        <v>2.5000000000000001E-3</v>
      </c>
      <c r="I1786" s="1">
        <v>2.5000000000000001E-3</v>
      </c>
      <c r="J1786" s="1">
        <v>0.40450000000000003</v>
      </c>
    </row>
    <row r="1787" spans="1:10" x14ac:dyDescent="0.2">
      <c r="A1787" t="str">
        <f>"11/06/2019"</f>
        <v>11/06/2019</v>
      </c>
      <c r="B1787">
        <v>1</v>
      </c>
      <c r="C1787">
        <v>74000</v>
      </c>
      <c r="D1787">
        <v>159695</v>
      </c>
      <c r="E1787">
        <v>74000</v>
      </c>
      <c r="F1787">
        <v>74000</v>
      </c>
      <c r="G1787" s="1">
        <v>2.5000000000000001E-3</v>
      </c>
      <c r="H1787" s="1">
        <v>2.5000000000000001E-3</v>
      </c>
      <c r="I1787" s="1">
        <v>2.5000000000000001E-3</v>
      </c>
      <c r="J1787" s="1">
        <v>0.41439999999999999</v>
      </c>
    </row>
    <row r="1788" spans="1:10" x14ac:dyDescent="0.2">
      <c r="A1788" t="str">
        <f>"10/06/2019"</f>
        <v>10/06/2019</v>
      </c>
      <c r="B1788">
        <v>1</v>
      </c>
      <c r="C1788">
        <v>74000</v>
      </c>
      <c r="D1788">
        <v>155490</v>
      </c>
      <c r="E1788">
        <v>74000</v>
      </c>
      <c r="F1788">
        <v>74000</v>
      </c>
      <c r="G1788" s="1">
        <v>2.5000000000000001E-3</v>
      </c>
      <c r="H1788" s="1">
        <v>2.5000000000000001E-3</v>
      </c>
      <c r="I1788" s="1">
        <v>2.5000000000000001E-3</v>
      </c>
      <c r="J1788" s="1">
        <v>0.43070000000000003</v>
      </c>
    </row>
    <row r="1789" spans="1:10" x14ac:dyDescent="0.2">
      <c r="A1789" t="str">
        <f>"06/06/2019"</f>
        <v>06/06/2019</v>
      </c>
      <c r="B1789">
        <v>4</v>
      </c>
      <c r="C1789">
        <v>74000</v>
      </c>
      <c r="D1789">
        <v>150018</v>
      </c>
      <c r="E1789">
        <v>74000</v>
      </c>
      <c r="F1789">
        <v>74000</v>
      </c>
      <c r="G1789" s="1">
        <v>2.5000000000000001E-3</v>
      </c>
      <c r="H1789" s="1">
        <v>2.5000000000000001E-3</v>
      </c>
      <c r="I1789" s="1">
        <v>2.5000000000000001E-3</v>
      </c>
      <c r="J1789" s="1">
        <v>0.44440000000000002</v>
      </c>
    </row>
    <row r="1790" spans="1:10" x14ac:dyDescent="0.2">
      <c r="A1790" t="str">
        <f>"05/06/2019"</f>
        <v>05/06/2019</v>
      </c>
      <c r="B1790">
        <v>1</v>
      </c>
      <c r="C1790">
        <v>74000</v>
      </c>
      <c r="D1790">
        <v>159830</v>
      </c>
      <c r="E1790">
        <v>74000</v>
      </c>
      <c r="F1790">
        <v>74000</v>
      </c>
      <c r="G1790" s="1">
        <v>2.5000000000000001E-3</v>
      </c>
      <c r="H1790" s="1">
        <v>2.5000000000000001E-3</v>
      </c>
      <c r="I1790" s="1">
        <v>2.5000000000000001E-3</v>
      </c>
      <c r="J1790" s="1">
        <v>0.40810000000000002</v>
      </c>
    </row>
    <row r="1791" spans="1:10" x14ac:dyDescent="0.2">
      <c r="A1791" t="str">
        <f>"04/06/2019"</f>
        <v>04/06/2019</v>
      </c>
      <c r="B1791">
        <v>1</v>
      </c>
      <c r="C1791">
        <v>75000</v>
      </c>
      <c r="D1791">
        <v>161555</v>
      </c>
      <c r="E1791">
        <v>75000</v>
      </c>
      <c r="F1791">
        <v>75000</v>
      </c>
      <c r="G1791" s="1">
        <v>2.5000000000000001E-3</v>
      </c>
      <c r="H1791" s="1">
        <v>2.5000000000000001E-3</v>
      </c>
      <c r="I1791" s="1">
        <v>2.5000000000000001E-3</v>
      </c>
      <c r="J1791" s="1">
        <v>0.41089999999999999</v>
      </c>
    </row>
    <row r="1792" spans="1:10" x14ac:dyDescent="0.2">
      <c r="A1792" t="str">
        <f>"03/06/2019"</f>
        <v>03/06/2019</v>
      </c>
      <c r="B1792">
        <v>1</v>
      </c>
      <c r="C1792">
        <v>76000</v>
      </c>
      <c r="D1792">
        <v>158793</v>
      </c>
      <c r="E1792">
        <v>76000</v>
      </c>
      <c r="F1792">
        <v>76000</v>
      </c>
      <c r="G1792" s="1">
        <v>2.5000000000000001E-3</v>
      </c>
      <c r="H1792" s="1">
        <v>2.5000000000000001E-3</v>
      </c>
      <c r="I1792" s="1">
        <v>2.5000000000000001E-3</v>
      </c>
      <c r="J1792" s="1">
        <v>0.41860000000000003</v>
      </c>
    </row>
    <row r="1793" spans="1:10" x14ac:dyDescent="0.2">
      <c r="A1793" t="str">
        <f>"02/06/2019"</f>
        <v>02/06/2019</v>
      </c>
      <c r="B1793">
        <v>1</v>
      </c>
      <c r="C1793">
        <v>74000</v>
      </c>
      <c r="D1793">
        <v>156430</v>
      </c>
      <c r="E1793">
        <v>74000</v>
      </c>
      <c r="F1793">
        <v>74000</v>
      </c>
      <c r="G1793" s="1">
        <v>2.5000000000000001E-3</v>
      </c>
      <c r="H1793" s="1">
        <v>2.5000000000000001E-3</v>
      </c>
      <c r="I1793" s="1">
        <v>2.5000000000000001E-3</v>
      </c>
      <c r="J1793" s="1">
        <v>0.41539999999999999</v>
      </c>
    </row>
    <row r="1794" spans="1:10" x14ac:dyDescent="0.2">
      <c r="A1794" t="str">
        <f>"30/05/2019"</f>
        <v>30/05/2019</v>
      </c>
      <c r="B1794">
        <v>3</v>
      </c>
      <c r="C1794">
        <v>53000</v>
      </c>
      <c r="D1794">
        <v>109258</v>
      </c>
      <c r="E1794">
        <v>53000</v>
      </c>
      <c r="F1794">
        <v>53000</v>
      </c>
      <c r="G1794" s="1">
        <v>2.5000000000000001E-3</v>
      </c>
      <c r="H1794" s="1">
        <v>2.5000000000000001E-3</v>
      </c>
      <c r="I1794" s="1">
        <v>2.5000000000000001E-3</v>
      </c>
      <c r="J1794" s="1">
        <v>0.43230000000000002</v>
      </c>
    </row>
    <row r="1795" spans="1:10" x14ac:dyDescent="0.2">
      <c r="A1795" t="str">
        <f>"29/05/2019"</f>
        <v>29/05/2019</v>
      </c>
      <c r="B1795">
        <v>1</v>
      </c>
      <c r="C1795">
        <v>49000</v>
      </c>
      <c r="D1795">
        <v>101851</v>
      </c>
      <c r="E1795">
        <v>49000</v>
      </c>
      <c r="F1795">
        <v>49000</v>
      </c>
      <c r="G1795" s="1">
        <v>2.5000000000000001E-3</v>
      </c>
      <c r="H1795" s="1">
        <v>2.5000000000000001E-3</v>
      </c>
      <c r="I1795" s="1">
        <v>2.5000000000000001E-3</v>
      </c>
      <c r="J1795" s="1">
        <v>0.41720000000000002</v>
      </c>
    </row>
    <row r="1796" spans="1:10" x14ac:dyDescent="0.2">
      <c r="A1796" t="str">
        <f>"28/05/2019"</f>
        <v>28/05/2019</v>
      </c>
      <c r="B1796">
        <v>1</v>
      </c>
      <c r="C1796">
        <v>50000</v>
      </c>
      <c r="D1796">
        <v>108506</v>
      </c>
      <c r="E1796">
        <v>50000</v>
      </c>
      <c r="F1796">
        <v>50000</v>
      </c>
      <c r="G1796" s="1">
        <v>2.5000000000000001E-3</v>
      </c>
      <c r="H1796" s="1">
        <v>2.5000000000000001E-3</v>
      </c>
      <c r="I1796" s="1">
        <v>2.5000000000000001E-3</v>
      </c>
      <c r="J1796" s="1">
        <v>0.39810000000000001</v>
      </c>
    </row>
    <row r="1797" spans="1:10" x14ac:dyDescent="0.2">
      <c r="A1797" t="str">
        <f>"27/05/2019"</f>
        <v>27/05/2019</v>
      </c>
      <c r="B1797">
        <v>1</v>
      </c>
      <c r="C1797">
        <v>45000</v>
      </c>
      <c r="D1797">
        <v>97778</v>
      </c>
      <c r="E1797">
        <v>45000</v>
      </c>
      <c r="F1797">
        <v>45000</v>
      </c>
      <c r="G1797" s="1">
        <v>2.5000000000000001E-3</v>
      </c>
      <c r="H1797" s="1">
        <v>2.5000000000000001E-3</v>
      </c>
      <c r="I1797" s="1">
        <v>2.5000000000000001E-3</v>
      </c>
      <c r="J1797" s="1">
        <v>0.39939999999999998</v>
      </c>
    </row>
    <row r="1798" spans="1:10" x14ac:dyDescent="0.2">
      <c r="A1798" t="str">
        <f>"26/05/2019"</f>
        <v>26/05/2019</v>
      </c>
      <c r="B1798">
        <v>1</v>
      </c>
      <c r="C1798">
        <v>46000</v>
      </c>
      <c r="D1798">
        <v>87796</v>
      </c>
      <c r="E1798">
        <v>46000</v>
      </c>
      <c r="F1798">
        <v>46000</v>
      </c>
      <c r="G1798" s="1">
        <v>2.5000000000000001E-3</v>
      </c>
      <c r="H1798" s="1">
        <v>2.5000000000000001E-3</v>
      </c>
      <c r="I1798" s="1">
        <v>2.5000000000000001E-3</v>
      </c>
      <c r="J1798" s="1">
        <v>0.45400000000000001</v>
      </c>
    </row>
    <row r="1799" spans="1:10" x14ac:dyDescent="0.2">
      <c r="A1799" t="str">
        <f>"23/05/2019"</f>
        <v>23/05/2019</v>
      </c>
      <c r="B1799">
        <v>3</v>
      </c>
      <c r="C1799">
        <v>47000</v>
      </c>
      <c r="D1799">
        <v>77350</v>
      </c>
      <c r="E1799">
        <v>47000</v>
      </c>
      <c r="F1799">
        <v>47000</v>
      </c>
      <c r="G1799" s="1">
        <v>2.5000000000000001E-3</v>
      </c>
      <c r="H1799" s="1">
        <v>2.5000000000000001E-3</v>
      </c>
      <c r="I1799" s="1">
        <v>2.5000000000000001E-3</v>
      </c>
      <c r="J1799" s="1">
        <v>0.56499999999999995</v>
      </c>
    </row>
    <row r="1800" spans="1:10" x14ac:dyDescent="0.2">
      <c r="A1800" t="str">
        <f>"22/05/2019"</f>
        <v>22/05/2019</v>
      </c>
      <c r="B1800">
        <v>1</v>
      </c>
      <c r="C1800">
        <v>44000</v>
      </c>
      <c r="D1800">
        <v>40934</v>
      </c>
      <c r="E1800">
        <v>40934</v>
      </c>
      <c r="F1800">
        <v>40934</v>
      </c>
      <c r="G1800" s="1">
        <v>2.5000000000000001E-3</v>
      </c>
      <c r="H1800" s="1">
        <v>2.5000000000000001E-3</v>
      </c>
      <c r="I1800" s="1">
        <v>2.5000000000000001E-3</v>
      </c>
      <c r="J1800" s="1">
        <v>1</v>
      </c>
    </row>
    <row r="1801" spans="1:10" x14ac:dyDescent="0.2">
      <c r="A1801" t="str">
        <f>"21/05/2019"</f>
        <v>21/05/2019</v>
      </c>
      <c r="B1801">
        <v>1</v>
      </c>
      <c r="C1801">
        <v>46000</v>
      </c>
      <c r="D1801">
        <v>56985</v>
      </c>
      <c r="E1801">
        <v>46000</v>
      </c>
      <c r="F1801">
        <v>46000</v>
      </c>
      <c r="G1801" s="1">
        <v>2.5000000000000001E-3</v>
      </c>
      <c r="H1801" s="1">
        <v>2.5000000000000001E-3</v>
      </c>
      <c r="I1801" s="1">
        <v>2.5000000000000001E-3</v>
      </c>
      <c r="J1801" s="1">
        <v>0.746</v>
      </c>
    </row>
    <row r="1802" spans="1:10" x14ac:dyDescent="0.2">
      <c r="A1802" t="str">
        <f>"20/05/2019"</f>
        <v>20/05/2019</v>
      </c>
      <c r="B1802">
        <v>1</v>
      </c>
      <c r="C1802">
        <v>48000</v>
      </c>
      <c r="D1802">
        <v>77269</v>
      </c>
      <c r="E1802">
        <v>48000</v>
      </c>
      <c r="F1802">
        <v>48000</v>
      </c>
      <c r="G1802" s="1">
        <v>2.5000000000000001E-3</v>
      </c>
      <c r="H1802" s="1">
        <v>2.5000000000000001E-3</v>
      </c>
      <c r="I1802" s="1">
        <v>2.5000000000000001E-3</v>
      </c>
      <c r="J1802" s="1">
        <v>0.57950000000000002</v>
      </c>
    </row>
    <row r="1803" spans="1:10" x14ac:dyDescent="0.2">
      <c r="A1803" t="str">
        <f>"19/05/2019"</f>
        <v>19/05/2019</v>
      </c>
      <c r="B1803">
        <v>1</v>
      </c>
      <c r="C1803">
        <v>48000</v>
      </c>
      <c r="D1803">
        <v>79313</v>
      </c>
      <c r="E1803">
        <v>48000</v>
      </c>
      <c r="F1803">
        <v>48000</v>
      </c>
      <c r="G1803" s="1">
        <v>2.5000000000000001E-3</v>
      </c>
      <c r="H1803" s="1">
        <v>2.5000000000000001E-3</v>
      </c>
      <c r="I1803" s="1">
        <v>2.5000000000000001E-3</v>
      </c>
      <c r="J1803" s="1">
        <v>0.55100000000000005</v>
      </c>
    </row>
    <row r="1804" spans="1:10" x14ac:dyDescent="0.2">
      <c r="A1804" t="str">
        <f>"16/05/2019"</f>
        <v>16/05/2019</v>
      </c>
      <c r="B1804">
        <v>3</v>
      </c>
      <c r="C1804">
        <v>51000</v>
      </c>
      <c r="D1804">
        <v>95474</v>
      </c>
      <c r="E1804">
        <v>51000</v>
      </c>
      <c r="F1804">
        <v>51000</v>
      </c>
      <c r="G1804" s="1">
        <v>2.5000000000000001E-3</v>
      </c>
      <c r="H1804" s="1">
        <v>2.5000000000000001E-3</v>
      </c>
      <c r="I1804" s="1">
        <v>2.5000000000000001E-3</v>
      </c>
      <c r="J1804" s="1">
        <v>0.47560000000000002</v>
      </c>
    </row>
    <row r="1805" spans="1:10" x14ac:dyDescent="0.2">
      <c r="A1805" t="str">
        <f>"15/05/2019"</f>
        <v>15/05/2019</v>
      </c>
      <c r="B1805">
        <v>1</v>
      </c>
      <c r="C1805">
        <v>62000</v>
      </c>
      <c r="D1805">
        <v>124496</v>
      </c>
      <c r="E1805">
        <v>62000</v>
      </c>
      <c r="F1805">
        <v>62000</v>
      </c>
      <c r="G1805" s="1">
        <v>2.5000000000000001E-3</v>
      </c>
      <c r="H1805" s="1">
        <v>2.5000000000000001E-3</v>
      </c>
      <c r="I1805" s="1">
        <v>2.5000000000000001E-3</v>
      </c>
      <c r="J1805" s="1">
        <v>0.44330000000000003</v>
      </c>
    </row>
    <row r="1806" spans="1:10" x14ac:dyDescent="0.2">
      <c r="A1806" t="str">
        <f>"14/05/2019"</f>
        <v>14/05/2019</v>
      </c>
      <c r="B1806">
        <v>1</v>
      </c>
      <c r="C1806">
        <v>63000</v>
      </c>
      <c r="D1806">
        <v>126877</v>
      </c>
      <c r="E1806">
        <v>63000</v>
      </c>
      <c r="F1806">
        <v>63000</v>
      </c>
      <c r="G1806" s="1">
        <v>2.5000000000000001E-3</v>
      </c>
      <c r="H1806" s="1">
        <v>2.5000000000000001E-3</v>
      </c>
      <c r="I1806" s="1">
        <v>2.5000000000000001E-3</v>
      </c>
      <c r="J1806" s="1">
        <v>0.441</v>
      </c>
    </row>
    <row r="1807" spans="1:10" x14ac:dyDescent="0.2">
      <c r="A1807" t="str">
        <f>"13/05/2019"</f>
        <v>13/05/2019</v>
      </c>
      <c r="B1807">
        <v>1</v>
      </c>
      <c r="C1807">
        <v>63000</v>
      </c>
      <c r="D1807">
        <v>121678</v>
      </c>
      <c r="E1807">
        <v>63000</v>
      </c>
      <c r="F1807">
        <v>63000</v>
      </c>
      <c r="G1807" s="1">
        <v>2.5000000000000001E-3</v>
      </c>
      <c r="H1807" s="1">
        <v>2.5000000000000001E-3</v>
      </c>
      <c r="I1807" s="1">
        <v>2.5000000000000001E-3</v>
      </c>
      <c r="J1807" s="1">
        <v>0.46860000000000002</v>
      </c>
    </row>
    <row r="1808" spans="1:10" x14ac:dyDescent="0.2">
      <c r="A1808" t="str">
        <f>"12/05/2019"</f>
        <v>12/05/2019</v>
      </c>
      <c r="B1808">
        <v>1</v>
      </c>
      <c r="C1808">
        <v>62000</v>
      </c>
      <c r="D1808">
        <v>130051</v>
      </c>
      <c r="E1808">
        <v>62000</v>
      </c>
      <c r="F1808">
        <v>62000</v>
      </c>
      <c r="G1808" s="1">
        <v>2.5000000000000001E-3</v>
      </c>
      <c r="H1808" s="1">
        <v>2.5000000000000001E-3</v>
      </c>
      <c r="I1808" s="1">
        <v>2.5000000000000001E-3</v>
      </c>
      <c r="J1808" s="1">
        <v>0.4274</v>
      </c>
    </row>
    <row r="1809" spans="1:10" x14ac:dyDescent="0.2">
      <c r="A1809" t="str">
        <f>"07/05/2019"</f>
        <v>07/05/2019</v>
      </c>
      <c r="B1809">
        <v>5</v>
      </c>
      <c r="C1809">
        <v>63000</v>
      </c>
      <c r="D1809">
        <v>128330</v>
      </c>
      <c r="E1809">
        <v>63000</v>
      </c>
      <c r="F1809">
        <v>63000</v>
      </c>
      <c r="G1809" s="1">
        <v>2.5000000000000001E-3</v>
      </c>
      <c r="H1809" s="1">
        <v>2.5000000000000001E-3</v>
      </c>
      <c r="I1809" s="1">
        <v>2.5000000000000001E-3</v>
      </c>
      <c r="J1809" s="1">
        <v>0.43490000000000001</v>
      </c>
    </row>
    <row r="1810" spans="1:10" x14ac:dyDescent="0.2">
      <c r="A1810" t="str">
        <f>"06/05/2019"</f>
        <v>06/05/2019</v>
      </c>
      <c r="B1810">
        <v>1</v>
      </c>
      <c r="C1810">
        <v>64000</v>
      </c>
      <c r="D1810">
        <v>138320</v>
      </c>
      <c r="E1810">
        <v>64000</v>
      </c>
      <c r="F1810">
        <v>64000</v>
      </c>
      <c r="G1810" s="1">
        <v>2.5000000000000001E-3</v>
      </c>
      <c r="H1810" s="1">
        <v>2.5000000000000001E-3</v>
      </c>
      <c r="I1810" s="1">
        <v>2.5000000000000001E-3</v>
      </c>
      <c r="J1810" s="1">
        <v>0.40770000000000001</v>
      </c>
    </row>
    <row r="1811" spans="1:10" x14ac:dyDescent="0.2">
      <c r="A1811" t="str">
        <f>"05/05/2019"</f>
        <v>05/05/2019</v>
      </c>
      <c r="B1811">
        <v>1</v>
      </c>
      <c r="C1811">
        <v>64000</v>
      </c>
      <c r="D1811">
        <v>138000</v>
      </c>
      <c r="E1811">
        <v>64000</v>
      </c>
      <c r="F1811">
        <v>64000</v>
      </c>
      <c r="G1811" s="1">
        <v>2.5000000000000001E-3</v>
      </c>
      <c r="H1811" s="1">
        <v>2.5000000000000001E-3</v>
      </c>
      <c r="I1811" s="1">
        <v>2.5000000000000001E-3</v>
      </c>
      <c r="J1811" s="1">
        <v>0.41710000000000003</v>
      </c>
    </row>
    <row r="1812" spans="1:10" x14ac:dyDescent="0.2">
      <c r="A1812" t="str">
        <f>"02/05/2019"</f>
        <v>02/05/2019</v>
      </c>
      <c r="B1812">
        <v>3</v>
      </c>
      <c r="C1812">
        <v>64000</v>
      </c>
      <c r="D1812">
        <v>134875</v>
      </c>
      <c r="E1812">
        <v>64000</v>
      </c>
      <c r="F1812">
        <v>64000</v>
      </c>
      <c r="G1812" s="1">
        <v>2.5000000000000001E-3</v>
      </c>
      <c r="H1812" s="1">
        <v>2.5000000000000001E-3</v>
      </c>
      <c r="I1812" s="1">
        <v>2.5000000000000001E-3</v>
      </c>
      <c r="J1812" s="1">
        <v>0.43180000000000002</v>
      </c>
    </row>
    <row r="1813" spans="1:10" x14ac:dyDescent="0.2">
      <c r="A1813" t="str">
        <f>"01/05/2019"</f>
        <v>01/05/2019</v>
      </c>
      <c r="B1813">
        <v>1</v>
      </c>
      <c r="C1813">
        <v>62000</v>
      </c>
      <c r="D1813">
        <v>136962</v>
      </c>
      <c r="E1813">
        <v>62000</v>
      </c>
      <c r="F1813">
        <v>62000</v>
      </c>
      <c r="G1813" s="1">
        <v>2.5000000000000001E-3</v>
      </c>
      <c r="H1813" s="1">
        <v>2.5000000000000001E-3</v>
      </c>
      <c r="I1813" s="1">
        <v>2.5000000000000001E-3</v>
      </c>
      <c r="J1813" s="1">
        <v>0.3947</v>
      </c>
    </row>
    <row r="1814" spans="1:10" x14ac:dyDescent="0.2">
      <c r="A1814" t="str">
        <f>"30/04/2019"</f>
        <v>30/04/2019</v>
      </c>
      <c r="B1814">
        <v>1</v>
      </c>
      <c r="C1814">
        <v>58000</v>
      </c>
      <c r="D1814">
        <v>123726</v>
      </c>
      <c r="E1814">
        <v>58000</v>
      </c>
      <c r="F1814">
        <v>58000</v>
      </c>
      <c r="G1814" s="1">
        <v>2.5000000000000001E-3</v>
      </c>
      <c r="H1814" s="1">
        <v>2.5000000000000001E-3</v>
      </c>
      <c r="I1814" s="1">
        <v>2.5000000000000001E-3</v>
      </c>
      <c r="J1814" s="1">
        <v>0.4098</v>
      </c>
    </row>
    <row r="1815" spans="1:10" x14ac:dyDescent="0.2">
      <c r="A1815" t="str">
        <f>"29/04/2019"</f>
        <v>29/04/2019</v>
      </c>
      <c r="B1815">
        <v>1</v>
      </c>
      <c r="C1815">
        <v>58000</v>
      </c>
      <c r="D1815">
        <v>137303</v>
      </c>
      <c r="E1815">
        <v>58000</v>
      </c>
      <c r="F1815">
        <v>58000</v>
      </c>
      <c r="G1815" s="1">
        <v>2.5000000000000001E-3</v>
      </c>
      <c r="H1815" s="1">
        <v>2.5000000000000001E-3</v>
      </c>
      <c r="I1815" s="1">
        <v>2.5000000000000001E-3</v>
      </c>
      <c r="J1815" s="1">
        <v>0.36220000000000002</v>
      </c>
    </row>
    <row r="1816" spans="1:10" x14ac:dyDescent="0.2">
      <c r="A1816" t="str">
        <f>"28/04/2019"</f>
        <v>28/04/2019</v>
      </c>
      <c r="B1816">
        <v>1</v>
      </c>
      <c r="C1816">
        <v>58000</v>
      </c>
      <c r="D1816">
        <v>155919</v>
      </c>
      <c r="E1816">
        <v>58000</v>
      </c>
      <c r="F1816">
        <v>58000</v>
      </c>
      <c r="G1816" s="1">
        <v>2.5000000000000001E-3</v>
      </c>
      <c r="H1816" s="1">
        <v>2.5000000000000001E-3</v>
      </c>
      <c r="I1816" s="1">
        <v>2.5000000000000001E-3</v>
      </c>
      <c r="J1816" s="1">
        <v>0.32279999999999998</v>
      </c>
    </row>
    <row r="1817" spans="1:10" x14ac:dyDescent="0.2">
      <c r="A1817" t="str">
        <f>"24/04/2019"</f>
        <v>24/04/2019</v>
      </c>
      <c r="B1817">
        <v>4</v>
      </c>
      <c r="C1817">
        <v>59000</v>
      </c>
      <c r="D1817">
        <v>158690</v>
      </c>
      <c r="E1817">
        <v>59000</v>
      </c>
      <c r="F1817">
        <v>59000</v>
      </c>
      <c r="G1817" s="1">
        <v>2.5000000000000001E-3</v>
      </c>
      <c r="H1817" s="1">
        <v>2.5000000000000001E-3</v>
      </c>
      <c r="I1817" s="1">
        <v>2.5000000000000001E-3</v>
      </c>
      <c r="J1817" s="1">
        <v>0.32090000000000002</v>
      </c>
    </row>
    <row r="1818" spans="1:10" x14ac:dyDescent="0.2">
      <c r="A1818" t="str">
        <f>"23/04/2019"</f>
        <v>23/04/2019</v>
      </c>
      <c r="B1818">
        <v>1</v>
      </c>
      <c r="C1818">
        <v>58000</v>
      </c>
      <c r="D1818">
        <v>165588</v>
      </c>
      <c r="E1818">
        <v>58000</v>
      </c>
      <c r="F1818">
        <v>58000</v>
      </c>
      <c r="G1818" s="1">
        <v>2.5000000000000001E-3</v>
      </c>
      <c r="H1818" s="1">
        <v>2.5000000000000001E-3</v>
      </c>
      <c r="I1818" s="1">
        <v>2.5000000000000001E-3</v>
      </c>
      <c r="J1818" s="1">
        <v>0.3</v>
      </c>
    </row>
    <row r="1819" spans="1:10" x14ac:dyDescent="0.2">
      <c r="A1819" t="str">
        <f>"22/04/2019"</f>
        <v>22/04/2019</v>
      </c>
      <c r="B1819">
        <v>1</v>
      </c>
      <c r="C1819">
        <v>60000</v>
      </c>
      <c r="D1819">
        <v>169091</v>
      </c>
      <c r="E1819">
        <v>60000</v>
      </c>
      <c r="F1819">
        <v>60000</v>
      </c>
      <c r="G1819" s="1">
        <v>2.5000000000000001E-3</v>
      </c>
      <c r="H1819" s="1">
        <v>2.5000000000000001E-3</v>
      </c>
      <c r="I1819" s="1">
        <v>2.5000000000000001E-3</v>
      </c>
      <c r="J1819" s="1">
        <v>0.30649999999999999</v>
      </c>
    </row>
    <row r="1820" spans="1:10" x14ac:dyDescent="0.2">
      <c r="A1820" t="str">
        <f>"21/04/2019"</f>
        <v>21/04/2019</v>
      </c>
      <c r="B1820">
        <v>1</v>
      </c>
      <c r="C1820">
        <v>58000</v>
      </c>
      <c r="D1820">
        <v>160840</v>
      </c>
      <c r="E1820">
        <v>58000</v>
      </c>
      <c r="F1820">
        <v>58000</v>
      </c>
      <c r="G1820" s="1">
        <v>2.5000000000000001E-3</v>
      </c>
      <c r="H1820" s="1">
        <v>2.5000000000000001E-3</v>
      </c>
      <c r="I1820" s="1">
        <v>2.5000000000000001E-3</v>
      </c>
      <c r="J1820" s="1">
        <v>0.311</v>
      </c>
    </row>
    <row r="1821" spans="1:10" x14ac:dyDescent="0.2">
      <c r="A1821" t="str">
        <f>"18/04/2019"</f>
        <v>18/04/2019</v>
      </c>
      <c r="B1821">
        <v>3</v>
      </c>
      <c r="C1821">
        <v>57000</v>
      </c>
      <c r="D1821">
        <v>150226</v>
      </c>
      <c r="E1821">
        <v>57000</v>
      </c>
      <c r="F1821">
        <v>57000</v>
      </c>
      <c r="G1821" s="1">
        <v>2.5000000000000001E-3</v>
      </c>
      <c r="H1821" s="1">
        <v>2.5000000000000001E-3</v>
      </c>
      <c r="I1821" s="1">
        <v>2.5000000000000001E-3</v>
      </c>
      <c r="J1821" s="1">
        <v>0.32450000000000001</v>
      </c>
    </row>
    <row r="1822" spans="1:10" x14ac:dyDescent="0.2">
      <c r="A1822" t="str">
        <f>"17/04/2019"</f>
        <v>17/04/2019</v>
      </c>
      <c r="B1822">
        <v>1</v>
      </c>
      <c r="C1822">
        <v>59000</v>
      </c>
      <c r="D1822">
        <v>151049</v>
      </c>
      <c r="E1822">
        <v>59000</v>
      </c>
      <c r="F1822">
        <v>59000</v>
      </c>
      <c r="G1822" s="1">
        <v>2.5000000000000001E-3</v>
      </c>
      <c r="H1822" s="1">
        <v>2.5000000000000001E-3</v>
      </c>
      <c r="I1822" s="1">
        <v>2.5000000000000001E-3</v>
      </c>
      <c r="J1822" s="1">
        <v>0.33100000000000002</v>
      </c>
    </row>
    <row r="1823" spans="1:10" x14ac:dyDescent="0.2">
      <c r="A1823" t="str">
        <f>"16/04/2019"</f>
        <v>16/04/2019</v>
      </c>
      <c r="B1823">
        <v>1</v>
      </c>
      <c r="C1823">
        <v>60000</v>
      </c>
      <c r="D1823">
        <v>149488</v>
      </c>
      <c r="E1823">
        <v>60000</v>
      </c>
      <c r="F1823">
        <v>60000</v>
      </c>
      <c r="G1823" s="1">
        <v>2.5000000000000001E-3</v>
      </c>
      <c r="H1823" s="1">
        <v>2.5000000000000001E-3</v>
      </c>
      <c r="I1823" s="1">
        <v>2.5000000000000001E-3</v>
      </c>
      <c r="J1823" s="1">
        <v>0.35060000000000002</v>
      </c>
    </row>
    <row r="1824" spans="1:10" x14ac:dyDescent="0.2">
      <c r="A1824" t="str">
        <f>"15/04/2019"</f>
        <v>15/04/2019</v>
      </c>
      <c r="B1824">
        <v>1</v>
      </c>
      <c r="C1824">
        <v>68000</v>
      </c>
      <c r="D1824">
        <v>147983</v>
      </c>
      <c r="E1824">
        <v>68000</v>
      </c>
      <c r="F1824">
        <v>68000</v>
      </c>
      <c r="G1824" s="1">
        <v>2.5000000000000001E-3</v>
      </c>
      <c r="H1824" s="1">
        <v>2.5000000000000001E-3</v>
      </c>
      <c r="I1824" s="1">
        <v>2.5000000000000001E-3</v>
      </c>
      <c r="J1824" s="1">
        <v>0.40710000000000002</v>
      </c>
    </row>
    <row r="1825" spans="1:10" x14ac:dyDescent="0.2">
      <c r="A1825" t="str">
        <f>"14/04/2019"</f>
        <v>14/04/2019</v>
      </c>
      <c r="B1825">
        <v>1</v>
      </c>
      <c r="C1825">
        <v>66000</v>
      </c>
      <c r="D1825">
        <v>119371</v>
      </c>
      <c r="E1825">
        <v>66000</v>
      </c>
      <c r="F1825">
        <v>66000</v>
      </c>
      <c r="G1825" s="1">
        <v>2.5000000000000001E-3</v>
      </c>
      <c r="H1825" s="1">
        <v>2.5000000000000001E-3</v>
      </c>
      <c r="I1825" s="1">
        <v>2.5000000000000001E-3</v>
      </c>
      <c r="J1825" s="1">
        <v>0.50009999999999999</v>
      </c>
    </row>
    <row r="1826" spans="1:10" x14ac:dyDescent="0.2">
      <c r="A1826" t="str">
        <f>"11/04/2019"</f>
        <v>11/04/2019</v>
      </c>
      <c r="B1826">
        <v>3</v>
      </c>
      <c r="C1826">
        <v>68000</v>
      </c>
      <c r="D1826">
        <v>99093</v>
      </c>
      <c r="E1826">
        <v>68000</v>
      </c>
      <c r="F1826">
        <v>68000</v>
      </c>
      <c r="G1826" s="1">
        <v>2.5000000000000001E-3</v>
      </c>
      <c r="H1826" s="1">
        <v>2.5000000000000001E-3</v>
      </c>
      <c r="I1826" s="1">
        <v>2.5000000000000001E-3</v>
      </c>
      <c r="J1826" s="1">
        <v>0.65190000000000003</v>
      </c>
    </row>
    <row r="1827" spans="1:10" x14ac:dyDescent="0.2">
      <c r="A1827" t="str">
        <f>"10/04/2019"</f>
        <v>10/04/2019</v>
      </c>
      <c r="B1827">
        <v>1</v>
      </c>
      <c r="C1827">
        <v>66000</v>
      </c>
      <c r="D1827">
        <v>63220</v>
      </c>
      <c r="E1827">
        <v>63220</v>
      </c>
      <c r="F1827">
        <v>63220</v>
      </c>
      <c r="G1827" s="1">
        <v>2.5000000000000001E-3</v>
      </c>
      <c r="H1827" s="1">
        <v>2.5000000000000001E-3</v>
      </c>
      <c r="I1827" s="1">
        <v>2.5000000000000001E-3</v>
      </c>
      <c r="J1827" s="1">
        <v>1</v>
      </c>
    </row>
    <row r="1828" spans="1:10" x14ac:dyDescent="0.2">
      <c r="A1828" t="str">
        <f>"08/04/2019"</f>
        <v>08/04/2019</v>
      </c>
      <c r="B1828">
        <v>2</v>
      </c>
      <c r="C1828">
        <v>67000</v>
      </c>
      <c r="D1828">
        <v>119549</v>
      </c>
      <c r="E1828">
        <v>67000</v>
      </c>
      <c r="F1828">
        <v>67000</v>
      </c>
      <c r="G1828" s="1">
        <v>2.5000000000000001E-3</v>
      </c>
      <c r="H1828" s="1">
        <v>2.5000000000000001E-3</v>
      </c>
      <c r="I1828" s="1">
        <v>2.5000000000000001E-3</v>
      </c>
      <c r="J1828" s="1">
        <v>0.51070000000000004</v>
      </c>
    </row>
    <row r="1829" spans="1:10" x14ac:dyDescent="0.2">
      <c r="A1829" t="str">
        <f>"07/04/2019"</f>
        <v>07/04/2019</v>
      </c>
      <c r="B1829">
        <v>1</v>
      </c>
      <c r="C1829">
        <v>67000</v>
      </c>
      <c r="D1829">
        <v>134028</v>
      </c>
      <c r="E1829">
        <v>67000</v>
      </c>
      <c r="F1829">
        <v>67000</v>
      </c>
      <c r="G1829" s="1">
        <v>2.5000000000000001E-3</v>
      </c>
      <c r="H1829" s="1">
        <v>2.5000000000000001E-3</v>
      </c>
      <c r="I1829" s="1">
        <v>2.5000000000000001E-3</v>
      </c>
      <c r="J1829" s="1">
        <v>0.44409999999999999</v>
      </c>
    </row>
    <row r="1830" spans="1:10" x14ac:dyDescent="0.2">
      <c r="A1830" t="str">
        <f>"04/04/2019"</f>
        <v>04/04/2019</v>
      </c>
      <c r="B1830">
        <v>3</v>
      </c>
      <c r="C1830">
        <v>65000</v>
      </c>
      <c r="D1830">
        <v>141735</v>
      </c>
      <c r="E1830">
        <v>65000</v>
      </c>
      <c r="F1830">
        <v>65000</v>
      </c>
      <c r="G1830" s="1">
        <v>2.5000000000000001E-3</v>
      </c>
      <c r="H1830" s="1">
        <v>2.5000000000000001E-3</v>
      </c>
      <c r="I1830" s="1">
        <v>2.5000000000000001E-3</v>
      </c>
      <c r="J1830" s="1">
        <v>0.40529999999999999</v>
      </c>
    </row>
    <row r="1831" spans="1:10" x14ac:dyDescent="0.2">
      <c r="A1831" t="str">
        <f>"03/04/2019"</f>
        <v>03/04/2019</v>
      </c>
      <c r="B1831">
        <v>1</v>
      </c>
      <c r="C1831">
        <v>63000</v>
      </c>
      <c r="D1831">
        <v>142320</v>
      </c>
      <c r="E1831">
        <v>63000</v>
      </c>
      <c r="F1831">
        <v>63000</v>
      </c>
      <c r="G1831" s="1">
        <v>2.5000000000000001E-3</v>
      </c>
      <c r="H1831" s="1">
        <v>2.5000000000000001E-3</v>
      </c>
      <c r="I1831" s="1">
        <v>2.5000000000000001E-3</v>
      </c>
      <c r="J1831" s="1">
        <v>0.39340000000000003</v>
      </c>
    </row>
    <row r="1832" spans="1:10" x14ac:dyDescent="0.2">
      <c r="A1832" t="str">
        <f>"02/04/2019"</f>
        <v>02/04/2019</v>
      </c>
      <c r="B1832">
        <v>1</v>
      </c>
      <c r="C1832">
        <v>64000</v>
      </c>
      <c r="D1832">
        <v>144580</v>
      </c>
      <c r="E1832">
        <v>64000</v>
      </c>
      <c r="F1832">
        <v>64000</v>
      </c>
      <c r="G1832" s="1">
        <v>2.5000000000000001E-3</v>
      </c>
      <c r="H1832" s="1">
        <v>2.5000000000000001E-3</v>
      </c>
      <c r="I1832" s="1">
        <v>2.5000000000000001E-3</v>
      </c>
      <c r="J1832" s="1">
        <v>0.39140000000000003</v>
      </c>
    </row>
    <row r="1833" spans="1:10" x14ac:dyDescent="0.2">
      <c r="A1833" t="str">
        <f>"01/04/2019"</f>
        <v>01/04/2019</v>
      </c>
      <c r="B1833">
        <v>1</v>
      </c>
      <c r="C1833">
        <v>66000</v>
      </c>
      <c r="D1833">
        <v>148660</v>
      </c>
      <c r="E1833">
        <v>66000</v>
      </c>
      <c r="F1833">
        <v>66000</v>
      </c>
      <c r="G1833" s="1">
        <v>2.5000000000000001E-3</v>
      </c>
      <c r="H1833" s="1">
        <v>2.5000000000000001E-3</v>
      </c>
      <c r="I1833" s="1">
        <v>2.5000000000000001E-3</v>
      </c>
      <c r="J1833" s="1">
        <v>0.38940000000000002</v>
      </c>
    </row>
    <row r="1834" spans="1:10" x14ac:dyDescent="0.2">
      <c r="A1834" t="str">
        <f>"31/03/2019"</f>
        <v>31/03/2019</v>
      </c>
      <c r="B1834">
        <v>1</v>
      </c>
      <c r="C1834">
        <v>56000</v>
      </c>
      <c r="D1834">
        <v>130909</v>
      </c>
      <c r="E1834">
        <v>56000</v>
      </c>
      <c r="F1834">
        <v>56000</v>
      </c>
      <c r="G1834" s="1">
        <v>2.5000000000000001E-3</v>
      </c>
      <c r="H1834" s="1">
        <v>2.5000000000000001E-3</v>
      </c>
      <c r="I1834" s="1">
        <v>2.5000000000000001E-3</v>
      </c>
      <c r="J1834" s="1">
        <v>0.38840000000000002</v>
      </c>
    </row>
    <row r="1835" spans="1:10" x14ac:dyDescent="0.2">
      <c r="A1835" t="str">
        <f>"28/03/2019"</f>
        <v>28/03/2019</v>
      </c>
      <c r="B1835">
        <v>3</v>
      </c>
      <c r="C1835">
        <v>53000</v>
      </c>
      <c r="D1835">
        <v>122165</v>
      </c>
      <c r="E1835">
        <v>53000</v>
      </c>
      <c r="F1835">
        <v>53000</v>
      </c>
      <c r="G1835" s="1">
        <v>2.5000000000000001E-3</v>
      </c>
      <c r="H1835" s="1">
        <v>2.5000000000000001E-3</v>
      </c>
      <c r="I1835" s="1">
        <v>2.5000000000000001E-3</v>
      </c>
      <c r="J1835" s="1">
        <v>0.37940000000000002</v>
      </c>
    </row>
    <row r="1836" spans="1:10" x14ac:dyDescent="0.2">
      <c r="A1836" t="str">
        <f>"27/03/2019"</f>
        <v>27/03/2019</v>
      </c>
      <c r="B1836">
        <v>1</v>
      </c>
      <c r="C1836">
        <v>49000</v>
      </c>
      <c r="D1836">
        <v>119748</v>
      </c>
      <c r="E1836">
        <v>49000</v>
      </c>
      <c r="F1836">
        <v>49000</v>
      </c>
      <c r="G1836" s="1">
        <v>2.5000000000000001E-3</v>
      </c>
      <c r="H1836" s="1">
        <v>2.5000000000000001E-3</v>
      </c>
      <c r="I1836" s="1">
        <v>2.5000000000000001E-3</v>
      </c>
      <c r="J1836" s="1">
        <v>0.35170000000000001</v>
      </c>
    </row>
    <row r="1837" spans="1:10" x14ac:dyDescent="0.2">
      <c r="A1837" t="str">
        <f>"26/03/2019"</f>
        <v>26/03/2019</v>
      </c>
      <c r="B1837">
        <v>1</v>
      </c>
      <c r="C1837">
        <v>46000</v>
      </c>
      <c r="D1837">
        <v>114529</v>
      </c>
      <c r="E1837">
        <v>46000</v>
      </c>
      <c r="F1837">
        <v>46000</v>
      </c>
      <c r="G1837" s="1">
        <v>2.5000000000000001E-3</v>
      </c>
      <c r="H1837" s="1">
        <v>2.5000000000000001E-3</v>
      </c>
      <c r="I1837" s="1">
        <v>2.5000000000000001E-3</v>
      </c>
      <c r="J1837" s="1">
        <v>0.34010000000000001</v>
      </c>
    </row>
    <row r="1838" spans="1:10" x14ac:dyDescent="0.2">
      <c r="A1838" t="str">
        <f>"25/03/2019"</f>
        <v>25/03/2019</v>
      </c>
      <c r="B1838">
        <v>1</v>
      </c>
      <c r="C1838">
        <v>48000</v>
      </c>
      <c r="D1838">
        <v>119492</v>
      </c>
      <c r="E1838">
        <v>48000</v>
      </c>
      <c r="F1838">
        <v>48000</v>
      </c>
      <c r="G1838" s="1">
        <v>2.5000000000000001E-3</v>
      </c>
      <c r="H1838" s="1">
        <v>2.5000000000000001E-3</v>
      </c>
      <c r="I1838" s="1">
        <v>2.5000000000000001E-3</v>
      </c>
      <c r="J1838" s="1">
        <v>0.35410000000000003</v>
      </c>
    </row>
    <row r="1839" spans="1:10" x14ac:dyDescent="0.2">
      <c r="A1839" t="str">
        <f>"24/03/2019"</f>
        <v>24/03/2019</v>
      </c>
      <c r="B1839">
        <v>1</v>
      </c>
      <c r="C1839">
        <v>48000</v>
      </c>
      <c r="D1839">
        <v>112390</v>
      </c>
      <c r="E1839">
        <v>48000</v>
      </c>
      <c r="F1839">
        <v>48000</v>
      </c>
      <c r="G1839" s="1">
        <v>2.5000000000000001E-3</v>
      </c>
      <c r="H1839" s="1">
        <v>2.5000000000000001E-3</v>
      </c>
      <c r="I1839" s="1">
        <v>2.5000000000000001E-3</v>
      </c>
      <c r="J1839" s="1">
        <v>0.36759999999999998</v>
      </c>
    </row>
    <row r="1840" spans="1:10" x14ac:dyDescent="0.2">
      <c r="A1840" t="str">
        <f>"20/03/2019"</f>
        <v>20/03/2019</v>
      </c>
      <c r="B1840">
        <v>4</v>
      </c>
      <c r="C1840">
        <v>53000</v>
      </c>
      <c r="D1840">
        <v>121755</v>
      </c>
      <c r="E1840">
        <v>53000</v>
      </c>
      <c r="F1840">
        <v>53000</v>
      </c>
      <c r="G1840" s="1">
        <v>2.5000000000000001E-3</v>
      </c>
      <c r="H1840" s="1">
        <v>2.5000000000000001E-3</v>
      </c>
      <c r="I1840" s="1">
        <v>2.5000000000000001E-3</v>
      </c>
      <c r="J1840" s="1">
        <v>0.37519999999999998</v>
      </c>
    </row>
    <row r="1841" spans="1:10" x14ac:dyDescent="0.2">
      <c r="A1841" t="str">
        <f>"19/03/2019"</f>
        <v>19/03/2019</v>
      </c>
      <c r="B1841">
        <v>1</v>
      </c>
      <c r="C1841">
        <v>58000</v>
      </c>
      <c r="D1841">
        <v>128980</v>
      </c>
      <c r="E1841">
        <v>58000</v>
      </c>
      <c r="F1841">
        <v>58000</v>
      </c>
      <c r="G1841" s="1">
        <v>2.5000000000000001E-3</v>
      </c>
      <c r="H1841" s="1">
        <v>2.5000000000000001E-3</v>
      </c>
      <c r="I1841" s="1">
        <v>2.5000000000000001E-3</v>
      </c>
      <c r="J1841" s="1">
        <v>0.3992</v>
      </c>
    </row>
    <row r="1842" spans="1:10" x14ac:dyDescent="0.2">
      <c r="A1842" t="str">
        <f>"18/03/2019"</f>
        <v>18/03/2019</v>
      </c>
      <c r="B1842">
        <v>1</v>
      </c>
      <c r="C1842">
        <v>61000</v>
      </c>
      <c r="D1842">
        <v>161722</v>
      </c>
      <c r="E1842">
        <v>61000</v>
      </c>
      <c r="F1842">
        <v>61000</v>
      </c>
      <c r="G1842" s="1">
        <v>2.5000000000000001E-3</v>
      </c>
      <c r="H1842" s="1">
        <v>2.5000000000000001E-3</v>
      </c>
      <c r="I1842" s="1">
        <v>2.5000000000000001E-3</v>
      </c>
      <c r="J1842" s="1">
        <v>0.3206</v>
      </c>
    </row>
    <row r="1843" spans="1:10" x14ac:dyDescent="0.2">
      <c r="A1843" t="str">
        <f>"17/03/2019"</f>
        <v>17/03/2019</v>
      </c>
      <c r="B1843">
        <v>1</v>
      </c>
      <c r="C1843">
        <v>61000</v>
      </c>
      <c r="D1843">
        <v>172795</v>
      </c>
      <c r="E1843">
        <v>61000</v>
      </c>
      <c r="F1843">
        <v>61000</v>
      </c>
      <c r="G1843" s="1">
        <v>2.5000000000000001E-3</v>
      </c>
      <c r="H1843" s="1">
        <v>2.5000000000000001E-3</v>
      </c>
      <c r="I1843" s="1">
        <v>2.5000000000000001E-3</v>
      </c>
      <c r="J1843" s="1">
        <v>0.30930000000000002</v>
      </c>
    </row>
    <row r="1844" spans="1:10" x14ac:dyDescent="0.2">
      <c r="A1844" t="str">
        <f>"14/03/2019"</f>
        <v>14/03/2019</v>
      </c>
      <c r="B1844">
        <v>3</v>
      </c>
      <c r="C1844">
        <v>66000</v>
      </c>
      <c r="D1844">
        <v>191614</v>
      </c>
      <c r="E1844">
        <v>66000</v>
      </c>
      <c r="F1844">
        <v>66000</v>
      </c>
      <c r="G1844" s="1">
        <v>2.5000000000000001E-3</v>
      </c>
      <c r="H1844" s="1">
        <v>2.5000000000000001E-3</v>
      </c>
      <c r="I1844" s="1">
        <v>2.5000000000000001E-3</v>
      </c>
      <c r="J1844" s="1">
        <v>0.28960000000000002</v>
      </c>
    </row>
    <row r="1845" spans="1:10" x14ac:dyDescent="0.2">
      <c r="A1845" t="str">
        <f>"13/03/2019"</f>
        <v>13/03/2019</v>
      </c>
      <c r="B1845">
        <v>1</v>
      </c>
      <c r="C1845">
        <v>69000</v>
      </c>
      <c r="D1845">
        <v>193049</v>
      </c>
      <c r="E1845">
        <v>69000</v>
      </c>
      <c r="F1845">
        <v>69000</v>
      </c>
      <c r="G1845" s="1">
        <v>2.5000000000000001E-3</v>
      </c>
      <c r="H1845" s="1">
        <v>2.5000000000000001E-3</v>
      </c>
      <c r="I1845" s="1">
        <v>2.5000000000000001E-3</v>
      </c>
      <c r="J1845" s="1">
        <v>0.308</v>
      </c>
    </row>
    <row r="1846" spans="1:10" x14ac:dyDescent="0.2">
      <c r="A1846" t="str">
        <f>"12/03/2019"</f>
        <v>12/03/2019</v>
      </c>
      <c r="B1846">
        <v>1</v>
      </c>
      <c r="C1846">
        <v>69000</v>
      </c>
      <c r="D1846">
        <v>198417</v>
      </c>
      <c r="E1846">
        <v>69000</v>
      </c>
      <c r="F1846">
        <v>69000</v>
      </c>
      <c r="G1846" s="1">
        <v>2.5000000000000001E-3</v>
      </c>
      <c r="H1846" s="1">
        <v>2.5000000000000001E-3</v>
      </c>
      <c r="I1846" s="1">
        <v>2.5000000000000001E-3</v>
      </c>
      <c r="J1846" s="1">
        <v>0.30380000000000001</v>
      </c>
    </row>
    <row r="1847" spans="1:10" x14ac:dyDescent="0.2">
      <c r="A1847" t="str">
        <f>"11/03/2019"</f>
        <v>11/03/2019</v>
      </c>
      <c r="B1847">
        <v>1</v>
      </c>
      <c r="C1847">
        <v>69000</v>
      </c>
      <c r="D1847">
        <v>197791</v>
      </c>
      <c r="E1847">
        <v>69000</v>
      </c>
      <c r="F1847">
        <v>69000</v>
      </c>
      <c r="G1847" s="1">
        <v>2.5000000000000001E-3</v>
      </c>
      <c r="H1847" s="1">
        <v>2.5000000000000001E-3</v>
      </c>
      <c r="I1847" s="1">
        <v>2.5000000000000001E-3</v>
      </c>
      <c r="J1847" s="1">
        <v>0.2923</v>
      </c>
    </row>
    <row r="1848" spans="1:10" x14ac:dyDescent="0.2">
      <c r="A1848" t="str">
        <f>"10/03/2019"</f>
        <v>10/03/2019</v>
      </c>
      <c r="B1848">
        <v>1</v>
      </c>
      <c r="C1848">
        <v>69000</v>
      </c>
      <c r="D1848">
        <v>199015</v>
      </c>
      <c r="E1848">
        <v>69000</v>
      </c>
      <c r="F1848">
        <v>69000</v>
      </c>
      <c r="G1848" s="1">
        <v>2.5000000000000001E-3</v>
      </c>
      <c r="H1848" s="1">
        <v>2.5000000000000001E-3</v>
      </c>
      <c r="I1848" s="1">
        <v>2.5000000000000001E-3</v>
      </c>
      <c r="J1848" s="1">
        <v>0.30359999999999998</v>
      </c>
    </row>
    <row r="1849" spans="1:10" x14ac:dyDescent="0.2">
      <c r="A1849" t="str">
        <f>"07/03/2019"</f>
        <v>07/03/2019</v>
      </c>
      <c r="B1849">
        <v>3</v>
      </c>
      <c r="C1849">
        <v>69000</v>
      </c>
      <c r="D1849">
        <v>180686</v>
      </c>
      <c r="E1849">
        <v>69000</v>
      </c>
      <c r="F1849">
        <v>69000</v>
      </c>
      <c r="G1849" s="1">
        <v>2.5000000000000001E-3</v>
      </c>
      <c r="H1849" s="1">
        <v>2.5000000000000001E-3</v>
      </c>
      <c r="I1849" s="1">
        <v>2.5000000000000001E-3</v>
      </c>
      <c r="J1849" s="1">
        <v>0.33979999999999999</v>
      </c>
    </row>
    <row r="1850" spans="1:10" x14ac:dyDescent="0.2">
      <c r="A1850" t="str">
        <f>"06/03/2019"</f>
        <v>06/03/2019</v>
      </c>
      <c r="B1850">
        <v>1</v>
      </c>
      <c r="C1850">
        <v>68000</v>
      </c>
      <c r="D1850">
        <v>182784</v>
      </c>
      <c r="E1850">
        <v>68000</v>
      </c>
      <c r="F1850">
        <v>68000</v>
      </c>
      <c r="G1850" s="1">
        <v>2.5000000000000001E-3</v>
      </c>
      <c r="H1850" s="1">
        <v>2.5000000000000001E-3</v>
      </c>
      <c r="I1850" s="1">
        <v>2.5000000000000001E-3</v>
      </c>
      <c r="J1850" s="1">
        <v>0.32800000000000001</v>
      </c>
    </row>
    <row r="1851" spans="1:10" x14ac:dyDescent="0.2">
      <c r="A1851" t="str">
        <f>"05/03/2019"</f>
        <v>05/03/2019</v>
      </c>
      <c r="B1851">
        <v>1</v>
      </c>
      <c r="C1851">
        <v>70000</v>
      </c>
      <c r="D1851">
        <v>176683</v>
      </c>
      <c r="E1851">
        <v>70000</v>
      </c>
      <c r="F1851">
        <v>70000</v>
      </c>
      <c r="G1851" s="1">
        <v>2.5000000000000001E-3</v>
      </c>
      <c r="H1851" s="1">
        <v>2.5000000000000001E-3</v>
      </c>
      <c r="I1851" s="1">
        <v>2.5000000000000001E-3</v>
      </c>
      <c r="J1851" s="1">
        <v>0.35539999999999999</v>
      </c>
    </row>
    <row r="1852" spans="1:10" x14ac:dyDescent="0.2">
      <c r="A1852" t="str">
        <f>"04/03/2019"</f>
        <v>04/03/2019</v>
      </c>
      <c r="B1852">
        <v>1</v>
      </c>
      <c r="C1852">
        <v>70000</v>
      </c>
      <c r="D1852">
        <v>146081</v>
      </c>
      <c r="E1852">
        <v>70000</v>
      </c>
      <c r="F1852">
        <v>70000</v>
      </c>
      <c r="G1852" s="1">
        <v>2.5000000000000001E-3</v>
      </c>
      <c r="H1852" s="1">
        <v>2.5000000000000001E-3</v>
      </c>
      <c r="I1852" s="1">
        <v>2.5000000000000001E-3</v>
      </c>
      <c r="J1852" s="1">
        <v>0.43070000000000003</v>
      </c>
    </row>
    <row r="1853" spans="1:10" x14ac:dyDescent="0.2">
      <c r="A1853" t="str">
        <f>"03/03/2019"</f>
        <v>03/03/2019</v>
      </c>
      <c r="B1853">
        <v>1</v>
      </c>
      <c r="C1853">
        <v>70000</v>
      </c>
      <c r="D1853">
        <v>115943</v>
      </c>
      <c r="E1853">
        <v>70000</v>
      </c>
      <c r="F1853">
        <v>70000</v>
      </c>
      <c r="G1853" s="1">
        <v>2.5000000000000001E-3</v>
      </c>
      <c r="H1853" s="1">
        <v>2.5000000000000001E-3</v>
      </c>
      <c r="I1853" s="1">
        <v>2.5000000000000001E-3</v>
      </c>
      <c r="J1853" s="1">
        <v>0.56140000000000001</v>
      </c>
    </row>
    <row r="1854" spans="1:10" x14ac:dyDescent="0.2">
      <c r="A1854" t="str">
        <f>"28/02/2019"</f>
        <v>28/02/2019</v>
      </c>
      <c r="B1854">
        <v>3</v>
      </c>
      <c r="C1854">
        <v>68000</v>
      </c>
      <c r="D1854">
        <v>96588</v>
      </c>
      <c r="E1854">
        <v>68000</v>
      </c>
      <c r="F1854">
        <v>68000</v>
      </c>
      <c r="G1854" s="1">
        <v>2.5000000000000001E-3</v>
      </c>
      <c r="H1854" s="1">
        <v>2.5000000000000001E-3</v>
      </c>
      <c r="I1854" s="1">
        <v>2.5000000000000001E-3</v>
      </c>
      <c r="J1854" s="1">
        <v>0.67549999999999999</v>
      </c>
    </row>
    <row r="1855" spans="1:10" x14ac:dyDescent="0.2">
      <c r="A1855" t="str">
        <f>"27/02/2019"</f>
        <v>27/02/2019</v>
      </c>
      <c r="B1855">
        <v>1</v>
      </c>
      <c r="C1855">
        <v>44000</v>
      </c>
      <c r="D1855">
        <v>40055</v>
      </c>
      <c r="E1855">
        <v>40055</v>
      </c>
      <c r="F1855">
        <v>40055</v>
      </c>
      <c r="G1855" s="1">
        <v>2.5000000000000001E-3</v>
      </c>
      <c r="H1855" s="1">
        <v>2.5000000000000001E-3</v>
      </c>
      <c r="I1855" s="1">
        <v>2.5000000000000001E-3</v>
      </c>
      <c r="J1855" s="1">
        <v>1</v>
      </c>
    </row>
    <row r="1856" spans="1:10" x14ac:dyDescent="0.2">
      <c r="A1856" t="str">
        <f>"26/02/2019"</f>
        <v>26/02/2019</v>
      </c>
      <c r="B1856">
        <v>1</v>
      </c>
      <c r="C1856">
        <v>45000</v>
      </c>
      <c r="D1856">
        <v>55729</v>
      </c>
      <c r="E1856">
        <v>45000</v>
      </c>
      <c r="F1856">
        <v>45000</v>
      </c>
      <c r="G1856" s="1">
        <v>2.5000000000000001E-3</v>
      </c>
      <c r="H1856" s="1">
        <v>2.5000000000000001E-3</v>
      </c>
      <c r="I1856" s="1">
        <v>2.5000000000000001E-3</v>
      </c>
      <c r="J1856" s="1">
        <v>0.7732</v>
      </c>
    </row>
    <row r="1857" spans="1:10" x14ac:dyDescent="0.2">
      <c r="A1857" t="str">
        <f>"25/02/2019"</f>
        <v>25/02/2019</v>
      </c>
      <c r="B1857">
        <v>1</v>
      </c>
      <c r="C1857">
        <v>47000</v>
      </c>
      <c r="D1857">
        <v>62677</v>
      </c>
      <c r="E1857">
        <v>47000</v>
      </c>
      <c r="F1857">
        <v>47000</v>
      </c>
      <c r="G1857" s="1">
        <v>2.5000000000000001E-3</v>
      </c>
      <c r="H1857" s="1">
        <v>2.5000000000000001E-3</v>
      </c>
      <c r="I1857" s="1">
        <v>2.5000000000000001E-3</v>
      </c>
      <c r="J1857" s="1">
        <v>0.71020000000000005</v>
      </c>
    </row>
    <row r="1858" spans="1:10" x14ac:dyDescent="0.2">
      <c r="A1858" t="str">
        <f>"24/02/2019"</f>
        <v>24/02/2019</v>
      </c>
      <c r="B1858">
        <v>1</v>
      </c>
      <c r="C1858">
        <v>47000</v>
      </c>
      <c r="D1858">
        <v>76584</v>
      </c>
      <c r="E1858">
        <v>47000</v>
      </c>
      <c r="F1858">
        <v>47000</v>
      </c>
      <c r="G1858" s="1">
        <v>2.5000000000000001E-3</v>
      </c>
      <c r="H1858" s="1">
        <v>2.5000000000000001E-3</v>
      </c>
      <c r="I1858" s="1">
        <v>2.5000000000000001E-3</v>
      </c>
      <c r="J1858" s="1">
        <v>0.56720000000000004</v>
      </c>
    </row>
    <row r="1859" spans="1:10" x14ac:dyDescent="0.2">
      <c r="A1859" t="str">
        <f>"21/02/2019"</f>
        <v>21/02/2019</v>
      </c>
      <c r="B1859">
        <v>3</v>
      </c>
      <c r="C1859">
        <v>49000</v>
      </c>
      <c r="D1859">
        <v>87669</v>
      </c>
      <c r="E1859">
        <v>49000</v>
      </c>
      <c r="F1859">
        <v>49000</v>
      </c>
      <c r="G1859" s="1">
        <v>2.5000000000000001E-3</v>
      </c>
      <c r="H1859" s="1">
        <v>2.5000000000000001E-3</v>
      </c>
      <c r="I1859" s="1">
        <v>2.5000000000000001E-3</v>
      </c>
      <c r="J1859" s="1">
        <v>0.49370000000000003</v>
      </c>
    </row>
    <row r="1860" spans="1:10" x14ac:dyDescent="0.2">
      <c r="A1860" t="str">
        <f>"20/02/2019"</f>
        <v>20/02/2019</v>
      </c>
      <c r="B1860">
        <v>1</v>
      </c>
      <c r="C1860">
        <v>52000</v>
      </c>
      <c r="D1860">
        <v>116716</v>
      </c>
      <c r="E1860">
        <v>52000</v>
      </c>
      <c r="F1860">
        <v>52000</v>
      </c>
      <c r="G1860" s="1">
        <v>2.5000000000000001E-3</v>
      </c>
      <c r="H1860" s="1">
        <v>2.5000000000000001E-3</v>
      </c>
      <c r="I1860" s="1">
        <v>2.5000000000000001E-3</v>
      </c>
      <c r="J1860" s="1">
        <v>0.38009999999999999</v>
      </c>
    </row>
    <row r="1861" spans="1:10" x14ac:dyDescent="0.2">
      <c r="A1861" t="str">
        <f>"19/02/2019"</f>
        <v>19/02/2019</v>
      </c>
      <c r="B1861">
        <v>1</v>
      </c>
      <c r="C1861">
        <v>53000</v>
      </c>
      <c r="D1861">
        <v>125482</v>
      </c>
      <c r="E1861">
        <v>53000</v>
      </c>
      <c r="F1861">
        <v>53000</v>
      </c>
      <c r="G1861" s="1">
        <v>2.5000000000000001E-3</v>
      </c>
      <c r="H1861" s="1">
        <v>2.5000000000000001E-3</v>
      </c>
      <c r="I1861" s="1">
        <v>2.5000000000000001E-3</v>
      </c>
      <c r="J1861" s="1">
        <v>0.36120000000000002</v>
      </c>
    </row>
    <row r="1862" spans="1:10" x14ac:dyDescent="0.2">
      <c r="A1862" t="str">
        <f>"18/02/2019"</f>
        <v>18/02/2019</v>
      </c>
      <c r="B1862">
        <v>1</v>
      </c>
      <c r="C1862">
        <v>55000</v>
      </c>
      <c r="D1862">
        <v>136193</v>
      </c>
      <c r="E1862">
        <v>55000</v>
      </c>
      <c r="F1862">
        <v>55000</v>
      </c>
      <c r="G1862" s="1">
        <v>2.5000000000000001E-3</v>
      </c>
      <c r="H1862" s="1">
        <v>2.5000000000000001E-3</v>
      </c>
      <c r="I1862" s="1">
        <v>2.5000000000000001E-3</v>
      </c>
      <c r="J1862" s="1">
        <v>0.35289999999999999</v>
      </c>
    </row>
    <row r="1863" spans="1:10" x14ac:dyDescent="0.2">
      <c r="A1863" t="str">
        <f>"17/02/2019"</f>
        <v>17/02/2019</v>
      </c>
      <c r="B1863">
        <v>1</v>
      </c>
      <c r="C1863">
        <v>57000</v>
      </c>
      <c r="D1863">
        <v>147001</v>
      </c>
      <c r="E1863">
        <v>57000</v>
      </c>
      <c r="F1863">
        <v>57000</v>
      </c>
      <c r="G1863" s="1">
        <v>2.5000000000000001E-3</v>
      </c>
      <c r="H1863" s="1">
        <v>2.5000000000000001E-3</v>
      </c>
      <c r="I1863" s="1">
        <v>2.5000000000000001E-3</v>
      </c>
      <c r="J1863" s="1">
        <v>0.3392</v>
      </c>
    </row>
    <row r="1864" spans="1:10" x14ac:dyDescent="0.2">
      <c r="A1864" t="str">
        <f>"14/02/2019"</f>
        <v>14/02/2019</v>
      </c>
      <c r="B1864">
        <v>3</v>
      </c>
      <c r="C1864">
        <v>63000</v>
      </c>
      <c r="D1864">
        <v>171291</v>
      </c>
      <c r="E1864">
        <v>63000</v>
      </c>
      <c r="F1864">
        <v>63000</v>
      </c>
      <c r="G1864" s="1">
        <v>2.5000000000000001E-3</v>
      </c>
      <c r="H1864" s="1">
        <v>2.5000000000000001E-3</v>
      </c>
      <c r="I1864" s="1">
        <v>2.5000000000000001E-3</v>
      </c>
      <c r="J1864" s="1">
        <v>0.3165</v>
      </c>
    </row>
    <row r="1865" spans="1:10" x14ac:dyDescent="0.2">
      <c r="A1865" t="str">
        <f>"13/02/2019"</f>
        <v>13/02/2019</v>
      </c>
      <c r="B1865">
        <v>1</v>
      </c>
      <c r="C1865">
        <v>65000</v>
      </c>
      <c r="D1865">
        <v>189745</v>
      </c>
      <c r="E1865">
        <v>65000</v>
      </c>
      <c r="F1865">
        <v>65000</v>
      </c>
      <c r="G1865" s="1">
        <v>2.5000000000000001E-3</v>
      </c>
      <c r="H1865" s="1">
        <v>2.5000000000000001E-3</v>
      </c>
      <c r="I1865" s="1">
        <v>2.5000000000000001E-3</v>
      </c>
      <c r="J1865" s="1">
        <v>0.29799999999999999</v>
      </c>
    </row>
    <row r="1866" spans="1:10" x14ac:dyDescent="0.2">
      <c r="A1866" t="str">
        <f>"12/02/2019"</f>
        <v>12/02/2019</v>
      </c>
      <c r="B1866">
        <v>1</v>
      </c>
      <c r="C1866">
        <v>65000</v>
      </c>
      <c r="D1866">
        <v>198574</v>
      </c>
      <c r="E1866">
        <v>65000</v>
      </c>
      <c r="F1866">
        <v>65000</v>
      </c>
      <c r="G1866" s="1">
        <v>2.5000000000000001E-3</v>
      </c>
      <c r="H1866" s="1">
        <v>2.5000000000000001E-3</v>
      </c>
      <c r="I1866" s="1">
        <v>2.5000000000000001E-3</v>
      </c>
      <c r="J1866" s="1">
        <v>0.28449999999999998</v>
      </c>
    </row>
    <row r="1867" spans="1:10" x14ac:dyDescent="0.2">
      <c r="A1867" t="str">
        <f>"11/02/2019"</f>
        <v>11/02/2019</v>
      </c>
      <c r="B1867">
        <v>1</v>
      </c>
      <c r="C1867">
        <v>65000</v>
      </c>
      <c r="D1867">
        <v>195577</v>
      </c>
      <c r="E1867">
        <v>65000</v>
      </c>
      <c r="F1867">
        <v>65000</v>
      </c>
      <c r="G1867" s="1">
        <v>2.5000000000000001E-3</v>
      </c>
      <c r="H1867" s="1">
        <v>2.5000000000000001E-3</v>
      </c>
      <c r="I1867" s="1">
        <v>2.5000000000000001E-3</v>
      </c>
      <c r="J1867" s="1">
        <v>0.27879999999999999</v>
      </c>
    </row>
    <row r="1868" spans="1:10" x14ac:dyDescent="0.2">
      <c r="A1868" t="str">
        <f>"10/02/2019"</f>
        <v>10/02/2019</v>
      </c>
      <c r="B1868">
        <v>1</v>
      </c>
      <c r="C1868">
        <v>65000</v>
      </c>
      <c r="D1868">
        <v>199306</v>
      </c>
      <c r="E1868">
        <v>65000</v>
      </c>
      <c r="F1868">
        <v>65000</v>
      </c>
      <c r="G1868" s="1">
        <v>2.5000000000000001E-3</v>
      </c>
      <c r="H1868" s="1">
        <v>2.5000000000000001E-3</v>
      </c>
      <c r="I1868" s="1">
        <v>2.5000000000000001E-3</v>
      </c>
      <c r="J1868" s="1">
        <v>0.27829999999999999</v>
      </c>
    </row>
    <row r="1869" spans="1:10" x14ac:dyDescent="0.2">
      <c r="A1869" t="str">
        <f>"07/02/2019"</f>
        <v>07/02/2019</v>
      </c>
      <c r="B1869">
        <v>3</v>
      </c>
      <c r="C1869">
        <v>68000</v>
      </c>
      <c r="D1869">
        <v>198682</v>
      </c>
      <c r="E1869">
        <v>68000</v>
      </c>
      <c r="F1869">
        <v>68000</v>
      </c>
      <c r="G1869" s="1">
        <v>2.5000000000000001E-3</v>
      </c>
      <c r="H1869" s="1">
        <v>2.5000000000000001E-3</v>
      </c>
      <c r="I1869" s="1">
        <v>2.5000000000000001E-3</v>
      </c>
      <c r="J1869" s="1">
        <v>0.2974</v>
      </c>
    </row>
    <row r="1870" spans="1:10" x14ac:dyDescent="0.2">
      <c r="A1870" t="str">
        <f>"06/02/2019"</f>
        <v>06/02/2019</v>
      </c>
      <c r="B1870">
        <v>1</v>
      </c>
      <c r="C1870">
        <v>69000</v>
      </c>
      <c r="D1870">
        <v>215649</v>
      </c>
      <c r="E1870">
        <v>69000</v>
      </c>
      <c r="F1870">
        <v>69000</v>
      </c>
      <c r="G1870" s="1">
        <v>2.5000000000000001E-3</v>
      </c>
      <c r="H1870" s="1">
        <v>2.5000000000000001E-3</v>
      </c>
      <c r="I1870" s="1">
        <v>2.5000000000000001E-3</v>
      </c>
      <c r="J1870" s="1">
        <v>0.27989999999999998</v>
      </c>
    </row>
    <row r="1871" spans="1:10" x14ac:dyDescent="0.2">
      <c r="A1871" t="str">
        <f>"05/02/2019"</f>
        <v>05/02/2019</v>
      </c>
      <c r="B1871">
        <v>1</v>
      </c>
      <c r="C1871">
        <v>68000</v>
      </c>
      <c r="D1871">
        <v>211936</v>
      </c>
      <c r="E1871">
        <v>68000</v>
      </c>
      <c r="F1871">
        <v>68000</v>
      </c>
      <c r="G1871" s="1">
        <v>2.5000000000000001E-3</v>
      </c>
      <c r="H1871" s="1">
        <v>2.5000000000000001E-3</v>
      </c>
      <c r="I1871" s="1">
        <v>2.5000000000000001E-3</v>
      </c>
      <c r="J1871" s="1">
        <v>0.27939999999999998</v>
      </c>
    </row>
    <row r="1872" spans="1:10" x14ac:dyDescent="0.2">
      <c r="A1872" t="str">
        <f>"04/02/2019"</f>
        <v>04/02/2019</v>
      </c>
      <c r="B1872">
        <v>1</v>
      </c>
      <c r="C1872">
        <v>68000</v>
      </c>
      <c r="D1872">
        <v>204812</v>
      </c>
      <c r="E1872">
        <v>68000</v>
      </c>
      <c r="F1872">
        <v>68000</v>
      </c>
      <c r="G1872" s="1">
        <v>2.5000000000000001E-3</v>
      </c>
      <c r="H1872" s="1">
        <v>2.5000000000000001E-3</v>
      </c>
      <c r="I1872" s="1">
        <v>2.5000000000000001E-3</v>
      </c>
      <c r="J1872" s="1">
        <v>0.28660000000000002</v>
      </c>
    </row>
    <row r="1873" spans="1:10" x14ac:dyDescent="0.2">
      <c r="A1873" t="str">
        <f>"03/02/2019"</f>
        <v>03/02/2019</v>
      </c>
      <c r="B1873">
        <v>1</v>
      </c>
      <c r="C1873">
        <v>67000</v>
      </c>
      <c r="D1873">
        <v>194635</v>
      </c>
      <c r="E1873">
        <v>67000</v>
      </c>
      <c r="F1873">
        <v>67000</v>
      </c>
      <c r="G1873" s="1">
        <v>2.5000000000000001E-3</v>
      </c>
      <c r="H1873" s="1">
        <v>2.5000000000000001E-3</v>
      </c>
      <c r="I1873" s="1">
        <v>2.5000000000000001E-3</v>
      </c>
      <c r="J1873" s="1">
        <v>0.30309999999999998</v>
      </c>
    </row>
    <row r="1874" spans="1:10" x14ac:dyDescent="0.2">
      <c r="A1874" t="str">
        <f>"31/01/2019"</f>
        <v>31/01/2019</v>
      </c>
      <c r="B1874">
        <v>3</v>
      </c>
      <c r="C1874">
        <v>66000</v>
      </c>
      <c r="D1874">
        <v>178129</v>
      </c>
      <c r="E1874">
        <v>66000</v>
      </c>
      <c r="F1874">
        <v>66000</v>
      </c>
      <c r="G1874" s="1">
        <v>2.5000000000000001E-3</v>
      </c>
      <c r="H1874" s="1">
        <v>2.5000000000000001E-3</v>
      </c>
      <c r="I1874" s="1">
        <v>2.5000000000000001E-3</v>
      </c>
      <c r="J1874" s="1">
        <v>0.3306</v>
      </c>
    </row>
    <row r="1875" spans="1:10" x14ac:dyDescent="0.2">
      <c r="A1875" t="str">
        <f>"30/01/2019"</f>
        <v>30/01/2019</v>
      </c>
      <c r="B1875">
        <v>1</v>
      </c>
      <c r="C1875">
        <v>60000</v>
      </c>
      <c r="D1875">
        <v>164495</v>
      </c>
      <c r="E1875">
        <v>60000</v>
      </c>
      <c r="F1875">
        <v>60000</v>
      </c>
      <c r="G1875" s="1">
        <v>2.5000000000000001E-3</v>
      </c>
      <c r="H1875" s="1">
        <v>2.5000000000000001E-3</v>
      </c>
      <c r="I1875" s="1">
        <v>2.5000000000000001E-3</v>
      </c>
      <c r="J1875" s="1">
        <v>0.30359999999999998</v>
      </c>
    </row>
    <row r="1876" spans="1:10" x14ac:dyDescent="0.2">
      <c r="A1876" t="str">
        <f>"29/01/2019"</f>
        <v>29/01/2019</v>
      </c>
      <c r="B1876">
        <v>1</v>
      </c>
      <c r="C1876">
        <v>58000</v>
      </c>
      <c r="D1876">
        <v>169441</v>
      </c>
      <c r="E1876">
        <v>58000</v>
      </c>
      <c r="F1876">
        <v>58000</v>
      </c>
      <c r="G1876" s="1">
        <v>2.5000000000000001E-3</v>
      </c>
      <c r="H1876" s="1">
        <v>2.5000000000000001E-3</v>
      </c>
      <c r="I1876" s="1">
        <v>2.5000000000000001E-3</v>
      </c>
      <c r="J1876" s="1">
        <v>0.29699999999999999</v>
      </c>
    </row>
    <row r="1877" spans="1:10" x14ac:dyDescent="0.2">
      <c r="A1877" t="str">
        <f>"28/01/2019"</f>
        <v>28/01/2019</v>
      </c>
      <c r="B1877">
        <v>1</v>
      </c>
      <c r="C1877">
        <v>59000</v>
      </c>
      <c r="D1877">
        <v>165014</v>
      </c>
      <c r="E1877">
        <v>59000</v>
      </c>
      <c r="F1877">
        <v>59000</v>
      </c>
      <c r="G1877" s="1">
        <v>2.5000000000000001E-3</v>
      </c>
      <c r="H1877" s="1">
        <v>2.5000000000000001E-3</v>
      </c>
      <c r="I1877" s="1">
        <v>2.5000000000000001E-3</v>
      </c>
      <c r="J1877" s="1">
        <v>0.3075</v>
      </c>
    </row>
    <row r="1878" spans="1:10" x14ac:dyDescent="0.2">
      <c r="A1878" t="str">
        <f>"27/01/2019"</f>
        <v>27/01/2019</v>
      </c>
      <c r="B1878">
        <v>1</v>
      </c>
      <c r="C1878">
        <v>56000</v>
      </c>
      <c r="D1878">
        <v>150789</v>
      </c>
      <c r="E1878">
        <v>56000</v>
      </c>
      <c r="F1878">
        <v>56000</v>
      </c>
      <c r="G1878" s="1">
        <v>2.5000000000000001E-3</v>
      </c>
      <c r="H1878" s="1">
        <v>2.5000000000000001E-3</v>
      </c>
      <c r="I1878" s="1">
        <v>2.5000000000000001E-3</v>
      </c>
      <c r="J1878" s="1">
        <v>0.32390000000000002</v>
      </c>
    </row>
    <row r="1879" spans="1:10" x14ac:dyDescent="0.2">
      <c r="A1879" t="str">
        <f>"24/01/2019"</f>
        <v>24/01/2019</v>
      </c>
      <c r="B1879">
        <v>3</v>
      </c>
      <c r="C1879">
        <v>60000</v>
      </c>
      <c r="D1879">
        <v>152132</v>
      </c>
      <c r="E1879">
        <v>60000</v>
      </c>
      <c r="F1879">
        <v>60000</v>
      </c>
      <c r="G1879" s="1">
        <v>2.5000000000000001E-3</v>
      </c>
      <c r="H1879" s="1">
        <v>2.5000000000000001E-3</v>
      </c>
      <c r="I1879" s="1">
        <v>2.5000000000000001E-3</v>
      </c>
      <c r="J1879" s="1">
        <v>0.34470000000000001</v>
      </c>
    </row>
    <row r="1880" spans="1:10" x14ac:dyDescent="0.2">
      <c r="A1880" t="str">
        <f>"23/01/2019"</f>
        <v>23/01/2019</v>
      </c>
      <c r="B1880">
        <v>1</v>
      </c>
      <c r="C1880">
        <v>59000</v>
      </c>
      <c r="D1880">
        <v>145579</v>
      </c>
      <c r="E1880">
        <v>59000</v>
      </c>
      <c r="F1880">
        <v>59000</v>
      </c>
      <c r="G1880" s="1">
        <v>2.5000000000000001E-3</v>
      </c>
      <c r="H1880" s="1">
        <v>2.5000000000000001E-3</v>
      </c>
      <c r="I1880" s="1">
        <v>2.5000000000000001E-3</v>
      </c>
      <c r="J1880" s="1">
        <v>0.3488</v>
      </c>
    </row>
    <row r="1881" spans="1:10" x14ac:dyDescent="0.2">
      <c r="A1881" t="str">
        <f>"22/01/2019"</f>
        <v>22/01/2019</v>
      </c>
      <c r="B1881">
        <v>1</v>
      </c>
      <c r="C1881">
        <v>63000</v>
      </c>
      <c r="D1881">
        <v>170923</v>
      </c>
      <c r="E1881">
        <v>63000</v>
      </c>
      <c r="F1881">
        <v>63000</v>
      </c>
      <c r="G1881" s="1">
        <v>2.5000000000000001E-3</v>
      </c>
      <c r="H1881" s="1">
        <v>2.5000000000000001E-3</v>
      </c>
      <c r="I1881" s="1">
        <v>2.5000000000000001E-3</v>
      </c>
      <c r="J1881" s="1">
        <v>0.31950000000000001</v>
      </c>
    </row>
    <row r="1882" spans="1:10" x14ac:dyDescent="0.2">
      <c r="A1882" t="str">
        <f>"21/01/2019"</f>
        <v>21/01/2019</v>
      </c>
      <c r="B1882">
        <v>1</v>
      </c>
      <c r="C1882">
        <v>65000</v>
      </c>
      <c r="D1882">
        <v>183836</v>
      </c>
      <c r="E1882">
        <v>65000</v>
      </c>
      <c r="F1882">
        <v>65000</v>
      </c>
      <c r="G1882" s="1">
        <v>2.5000000000000001E-3</v>
      </c>
      <c r="H1882" s="1">
        <v>2.5000000000000001E-3</v>
      </c>
      <c r="I1882" s="1">
        <v>2.5000000000000001E-3</v>
      </c>
      <c r="J1882" s="1">
        <v>0.30309999999999998</v>
      </c>
    </row>
    <row r="1883" spans="1:10" x14ac:dyDescent="0.2">
      <c r="A1883" t="str">
        <f>"20/01/2019"</f>
        <v>20/01/2019</v>
      </c>
      <c r="B1883">
        <v>1</v>
      </c>
      <c r="C1883">
        <v>65000</v>
      </c>
      <c r="D1883">
        <v>178899</v>
      </c>
      <c r="E1883">
        <v>65000</v>
      </c>
      <c r="F1883">
        <v>65000</v>
      </c>
      <c r="G1883" s="1">
        <v>2.5000000000000001E-3</v>
      </c>
      <c r="H1883" s="1">
        <v>2.5000000000000001E-3</v>
      </c>
      <c r="I1883" s="1">
        <v>2.5000000000000001E-3</v>
      </c>
      <c r="J1883" s="1">
        <v>0.32240000000000002</v>
      </c>
    </row>
    <row r="1884" spans="1:10" x14ac:dyDescent="0.2">
      <c r="A1884" t="str">
        <f>"17/01/2019"</f>
        <v>17/01/2019</v>
      </c>
      <c r="B1884">
        <v>3</v>
      </c>
      <c r="C1884">
        <v>69000</v>
      </c>
      <c r="D1884">
        <v>178846</v>
      </c>
      <c r="E1884">
        <v>69000</v>
      </c>
      <c r="F1884">
        <v>69000</v>
      </c>
      <c r="G1884" s="1">
        <v>2.5000000000000001E-3</v>
      </c>
      <c r="H1884" s="1">
        <v>2.5000000000000001E-3</v>
      </c>
      <c r="I1884" s="1">
        <v>2.5000000000000001E-3</v>
      </c>
      <c r="J1884" s="1">
        <v>0.3407</v>
      </c>
    </row>
    <row r="1885" spans="1:10" x14ac:dyDescent="0.2">
      <c r="A1885" t="str">
        <f>"16/01/2019"</f>
        <v>16/01/2019</v>
      </c>
      <c r="B1885">
        <v>1</v>
      </c>
      <c r="C1885">
        <v>70000</v>
      </c>
      <c r="D1885">
        <v>175785</v>
      </c>
      <c r="E1885">
        <v>70000</v>
      </c>
      <c r="F1885">
        <v>70000</v>
      </c>
      <c r="G1885" s="1">
        <v>2.5000000000000001E-3</v>
      </c>
      <c r="H1885" s="1">
        <v>2.5000000000000001E-3</v>
      </c>
      <c r="I1885" s="1">
        <v>2.5000000000000001E-3</v>
      </c>
      <c r="J1885" s="1">
        <v>0.34210000000000002</v>
      </c>
    </row>
    <row r="1886" spans="1:10" x14ac:dyDescent="0.2">
      <c r="A1886" t="str">
        <f>"15/01/2019"</f>
        <v>15/01/2019</v>
      </c>
      <c r="B1886">
        <v>1</v>
      </c>
      <c r="C1886">
        <v>80000</v>
      </c>
      <c r="D1886">
        <v>181397</v>
      </c>
      <c r="E1886">
        <v>80000</v>
      </c>
      <c r="F1886">
        <v>80000</v>
      </c>
      <c r="G1886" s="1">
        <v>2.5000000000000001E-3</v>
      </c>
      <c r="H1886" s="1">
        <v>2.5000000000000001E-3</v>
      </c>
      <c r="I1886" s="1">
        <v>2.5000000000000001E-3</v>
      </c>
      <c r="J1886" s="1">
        <v>0.38319999999999999</v>
      </c>
    </row>
    <row r="1887" spans="1:10" x14ac:dyDescent="0.2">
      <c r="A1887" t="str">
        <f>"14/01/2019"</f>
        <v>14/01/2019</v>
      </c>
      <c r="B1887">
        <v>1</v>
      </c>
      <c r="C1887">
        <v>82000</v>
      </c>
      <c r="D1887">
        <v>155972</v>
      </c>
      <c r="E1887">
        <v>82000</v>
      </c>
      <c r="F1887">
        <v>82000</v>
      </c>
      <c r="G1887" s="1">
        <v>2.5000000000000001E-3</v>
      </c>
      <c r="H1887" s="1">
        <v>2.5000000000000001E-3</v>
      </c>
      <c r="I1887" s="1">
        <v>2.5000000000000001E-3</v>
      </c>
      <c r="J1887" s="1">
        <v>0.46139999999999998</v>
      </c>
    </row>
    <row r="1888" spans="1:10" x14ac:dyDescent="0.2">
      <c r="A1888" t="str">
        <f>"13/01/2019"</f>
        <v>13/01/2019</v>
      </c>
      <c r="B1888">
        <v>1</v>
      </c>
      <c r="C1888">
        <v>81000</v>
      </c>
      <c r="D1888">
        <v>134642</v>
      </c>
      <c r="E1888">
        <v>81000</v>
      </c>
      <c r="F1888">
        <v>81000</v>
      </c>
      <c r="G1888" s="1">
        <v>2.5000000000000001E-3</v>
      </c>
      <c r="H1888" s="1">
        <v>2.5000000000000001E-3</v>
      </c>
      <c r="I1888" s="1">
        <v>2.5000000000000001E-3</v>
      </c>
      <c r="J1888" s="1">
        <v>0.55220000000000002</v>
      </c>
    </row>
    <row r="1889" spans="1:10" x14ac:dyDescent="0.2">
      <c r="A1889" t="str">
        <f>"10/01/2019"</f>
        <v>10/01/2019</v>
      </c>
      <c r="B1889">
        <v>3</v>
      </c>
      <c r="C1889">
        <v>80000</v>
      </c>
      <c r="D1889">
        <v>114524</v>
      </c>
      <c r="E1889">
        <v>74200</v>
      </c>
      <c r="F1889">
        <v>80000</v>
      </c>
      <c r="G1889" s="1">
        <v>2.5000000000000001E-3</v>
      </c>
      <c r="H1889" s="1">
        <v>2.5000000000000001E-3</v>
      </c>
      <c r="I1889" s="1">
        <v>2.5000000000000001E-3</v>
      </c>
      <c r="J1889" s="1">
        <v>0.65700000000000003</v>
      </c>
    </row>
    <row r="1890" spans="1:10" x14ac:dyDescent="0.2">
      <c r="A1890" t="str">
        <f>"09/01/2019"</f>
        <v>09/01/2019</v>
      </c>
      <c r="B1890">
        <v>1</v>
      </c>
      <c r="C1890">
        <v>76000</v>
      </c>
      <c r="D1890">
        <v>81754</v>
      </c>
      <c r="E1890">
        <v>76000</v>
      </c>
      <c r="F1890">
        <v>76000</v>
      </c>
      <c r="G1890" s="1">
        <v>2.5000000000000001E-3</v>
      </c>
      <c r="H1890" s="1">
        <v>2.5000000000000001E-3</v>
      </c>
      <c r="I1890" s="1">
        <v>2.5000000000000001E-3</v>
      </c>
      <c r="J1890" s="1">
        <v>0.88529999999999998</v>
      </c>
    </row>
    <row r="1891" spans="1:10" x14ac:dyDescent="0.2">
      <c r="A1891" t="str">
        <f>"08/01/2019"</f>
        <v>08/01/2019</v>
      </c>
      <c r="B1891">
        <v>1</v>
      </c>
      <c r="C1891">
        <v>76000</v>
      </c>
      <c r="D1891">
        <v>174866</v>
      </c>
      <c r="E1891">
        <v>76000</v>
      </c>
      <c r="F1891">
        <v>76000</v>
      </c>
      <c r="G1891" s="1">
        <v>2.5000000000000001E-3</v>
      </c>
      <c r="H1891" s="1">
        <v>2.5000000000000001E-3</v>
      </c>
      <c r="I1891" s="1">
        <v>2.5000000000000001E-3</v>
      </c>
      <c r="J1891" s="1">
        <v>0.3579</v>
      </c>
    </row>
    <row r="1892" spans="1:10" x14ac:dyDescent="0.2">
      <c r="A1892" t="str">
        <f>"07/01/2019"</f>
        <v>07/01/2019</v>
      </c>
      <c r="B1892">
        <v>1</v>
      </c>
      <c r="C1892">
        <v>76000</v>
      </c>
      <c r="D1892">
        <v>177907</v>
      </c>
      <c r="E1892">
        <v>76000</v>
      </c>
      <c r="F1892">
        <v>76000</v>
      </c>
      <c r="G1892" s="1">
        <v>2.5000000000000001E-3</v>
      </c>
      <c r="H1892" s="1">
        <v>2.5000000000000001E-3</v>
      </c>
      <c r="I1892" s="1">
        <v>2.5000000000000001E-3</v>
      </c>
      <c r="J1892" s="1">
        <v>0.3735</v>
      </c>
    </row>
    <row r="1893" spans="1:10" x14ac:dyDescent="0.2">
      <c r="A1893" t="str">
        <f>"06/01/2019"</f>
        <v>06/01/2019</v>
      </c>
      <c r="B1893">
        <v>1</v>
      </c>
      <c r="C1893">
        <v>76000</v>
      </c>
      <c r="D1893">
        <v>182113</v>
      </c>
      <c r="E1893">
        <v>76000</v>
      </c>
      <c r="F1893">
        <v>76000</v>
      </c>
      <c r="G1893" s="1">
        <v>2.5000000000000001E-3</v>
      </c>
      <c r="H1893" s="1">
        <v>2.5000000000000001E-3</v>
      </c>
      <c r="I1893" s="1">
        <v>2.5000000000000001E-3</v>
      </c>
      <c r="J1893" s="1">
        <v>0.36709999999999998</v>
      </c>
    </row>
    <row r="1894" spans="1:10" x14ac:dyDescent="0.2">
      <c r="A1894" t="str">
        <f>"03/01/2019"</f>
        <v>03/01/2019</v>
      </c>
      <c r="B1894">
        <v>3</v>
      </c>
      <c r="C1894">
        <v>76000</v>
      </c>
      <c r="D1894">
        <v>193584</v>
      </c>
      <c r="E1894">
        <v>76000</v>
      </c>
      <c r="F1894">
        <v>76000</v>
      </c>
      <c r="G1894" s="1">
        <v>2.5000000000000001E-3</v>
      </c>
      <c r="H1894" s="1">
        <v>2.5000000000000001E-3</v>
      </c>
      <c r="I1894" s="1">
        <v>2.5000000000000001E-3</v>
      </c>
      <c r="J1894" s="1">
        <v>0.34229999999999999</v>
      </c>
    </row>
    <row r="1895" spans="1:10" x14ac:dyDescent="0.2">
      <c r="A1895" t="str">
        <f>"02/01/2019"</f>
        <v>02/01/2019</v>
      </c>
      <c r="B1895">
        <v>1</v>
      </c>
      <c r="C1895">
        <v>76000</v>
      </c>
      <c r="D1895">
        <v>197175</v>
      </c>
      <c r="E1895">
        <v>76000</v>
      </c>
      <c r="F1895">
        <v>76000</v>
      </c>
      <c r="G1895" s="1">
        <v>2.5000000000000001E-3</v>
      </c>
      <c r="H1895" s="1">
        <v>2.5000000000000001E-3</v>
      </c>
      <c r="I1895" s="1">
        <v>2.5000000000000001E-3</v>
      </c>
      <c r="J1895" s="1">
        <v>0.33779999999999999</v>
      </c>
    </row>
    <row r="1896" spans="1:10" x14ac:dyDescent="0.2">
      <c r="A1896" t="str">
        <f>"01/01/2019"</f>
        <v>01/01/2019</v>
      </c>
      <c r="B1896">
        <v>1</v>
      </c>
      <c r="C1896">
        <v>78000</v>
      </c>
      <c r="D1896">
        <v>198562</v>
      </c>
      <c r="E1896">
        <v>78000</v>
      </c>
      <c r="F1896">
        <v>78000</v>
      </c>
      <c r="G1896" s="1">
        <v>2.5000000000000001E-3</v>
      </c>
      <c r="H1896" s="1">
        <v>2.5000000000000001E-3</v>
      </c>
      <c r="I1896" s="1">
        <v>2.5000000000000001E-3</v>
      </c>
      <c r="J1896" s="1">
        <v>0.35089999999999999</v>
      </c>
    </row>
    <row r="1897" spans="1:10" x14ac:dyDescent="0.2">
      <c r="A1897" t="str">
        <f>"31/12/2018"</f>
        <v>31/12/2018</v>
      </c>
      <c r="B1897">
        <v>1</v>
      </c>
      <c r="C1897">
        <v>73000</v>
      </c>
      <c r="D1897">
        <v>183033</v>
      </c>
      <c r="E1897">
        <v>73000</v>
      </c>
      <c r="F1897">
        <v>73000</v>
      </c>
      <c r="G1897" s="1">
        <v>2.5000000000000001E-3</v>
      </c>
      <c r="H1897" s="1">
        <v>2.5000000000000001E-3</v>
      </c>
      <c r="I1897" s="1">
        <v>2.5000000000000001E-3</v>
      </c>
      <c r="J1897" s="1">
        <v>0.35189999999999999</v>
      </c>
    </row>
    <row r="1898" spans="1:10" x14ac:dyDescent="0.2">
      <c r="A1898" t="str">
        <f>"30/12/2018"</f>
        <v>30/12/2018</v>
      </c>
      <c r="B1898">
        <v>1</v>
      </c>
      <c r="C1898">
        <v>70000</v>
      </c>
      <c r="D1898">
        <v>187608</v>
      </c>
      <c r="E1898">
        <v>70000</v>
      </c>
      <c r="F1898">
        <v>70000</v>
      </c>
      <c r="G1898" s="1">
        <v>2.5000000000000001E-3</v>
      </c>
      <c r="H1898" s="1">
        <v>2.5000000000000001E-3</v>
      </c>
      <c r="I1898" s="1">
        <v>2.5000000000000001E-3</v>
      </c>
      <c r="J1898" s="1">
        <v>0.31340000000000001</v>
      </c>
    </row>
    <row r="1899" spans="1:10" x14ac:dyDescent="0.2">
      <c r="A1899" t="str">
        <f>"27/12/2018"</f>
        <v>27/12/2018</v>
      </c>
      <c r="B1899">
        <v>3</v>
      </c>
      <c r="C1899">
        <v>71000</v>
      </c>
      <c r="D1899">
        <v>182411</v>
      </c>
      <c r="E1899">
        <v>71000</v>
      </c>
      <c r="F1899">
        <v>71000</v>
      </c>
      <c r="G1899" s="1">
        <v>2.5000000000000001E-3</v>
      </c>
      <c r="H1899" s="1">
        <v>2.5000000000000001E-3</v>
      </c>
      <c r="I1899" s="1">
        <v>2.5000000000000001E-3</v>
      </c>
      <c r="J1899" s="1">
        <v>0.32500000000000001</v>
      </c>
    </row>
    <row r="1900" spans="1:10" x14ac:dyDescent="0.2">
      <c r="A1900" t="str">
        <f>"26/12/2018"</f>
        <v>26/12/2018</v>
      </c>
      <c r="B1900">
        <v>1</v>
      </c>
      <c r="C1900">
        <v>64000</v>
      </c>
      <c r="D1900">
        <v>177782</v>
      </c>
      <c r="E1900">
        <v>64000</v>
      </c>
      <c r="F1900">
        <v>64000</v>
      </c>
      <c r="G1900" s="1">
        <v>2.5000000000000001E-3</v>
      </c>
      <c r="H1900" s="1">
        <v>2.5000000000000001E-3</v>
      </c>
      <c r="I1900" s="1">
        <v>2.5000000000000001E-3</v>
      </c>
      <c r="J1900" s="1">
        <v>0.2757</v>
      </c>
    </row>
    <row r="1901" spans="1:10" x14ac:dyDescent="0.2">
      <c r="A1901" t="str">
        <f>"25/12/2018"</f>
        <v>25/12/2018</v>
      </c>
      <c r="B1901">
        <v>1</v>
      </c>
      <c r="C1901">
        <v>62000</v>
      </c>
      <c r="D1901">
        <v>166681</v>
      </c>
      <c r="E1901">
        <v>62000</v>
      </c>
      <c r="F1901">
        <v>62000</v>
      </c>
      <c r="G1901" s="1">
        <v>2.5000000000000001E-3</v>
      </c>
      <c r="H1901" s="1">
        <v>2.5000000000000001E-3</v>
      </c>
      <c r="I1901" s="1">
        <v>2.5000000000000001E-3</v>
      </c>
      <c r="J1901" s="1">
        <v>0.29120000000000001</v>
      </c>
    </row>
    <row r="1902" spans="1:10" x14ac:dyDescent="0.2">
      <c r="A1902" t="str">
        <f>"24/12/2018"</f>
        <v>24/12/2018</v>
      </c>
      <c r="B1902">
        <v>1</v>
      </c>
      <c r="C1902">
        <v>61000</v>
      </c>
      <c r="D1902">
        <v>150833</v>
      </c>
      <c r="E1902">
        <v>61000</v>
      </c>
      <c r="F1902">
        <v>61000</v>
      </c>
      <c r="G1902" s="1">
        <v>2.5000000000000001E-3</v>
      </c>
      <c r="H1902" s="1">
        <v>2.5000000000000001E-3</v>
      </c>
      <c r="I1902" s="1">
        <v>2.5000000000000001E-3</v>
      </c>
      <c r="J1902" s="1">
        <v>0.33069999999999999</v>
      </c>
    </row>
    <row r="1903" spans="1:10" x14ac:dyDescent="0.2">
      <c r="A1903" t="str">
        <f>"23/12/2018"</f>
        <v>23/12/2018</v>
      </c>
      <c r="B1903">
        <v>1</v>
      </c>
      <c r="C1903">
        <v>61000</v>
      </c>
      <c r="D1903">
        <v>154266</v>
      </c>
      <c r="E1903">
        <v>61000</v>
      </c>
      <c r="F1903">
        <v>61000</v>
      </c>
      <c r="G1903" s="1">
        <v>2.5000000000000001E-3</v>
      </c>
      <c r="H1903" s="1">
        <v>2.5000000000000001E-3</v>
      </c>
      <c r="I1903" s="1">
        <v>2.5000000000000001E-3</v>
      </c>
      <c r="J1903" s="1">
        <v>0.35139999999999999</v>
      </c>
    </row>
    <row r="1904" spans="1:10" x14ac:dyDescent="0.2">
      <c r="A1904" t="str">
        <f>"20/12/2018"</f>
        <v>20/12/2018</v>
      </c>
      <c r="B1904">
        <v>3</v>
      </c>
      <c r="C1904">
        <v>59000</v>
      </c>
      <c r="D1904">
        <v>134864</v>
      </c>
      <c r="E1904">
        <v>59000</v>
      </c>
      <c r="F1904">
        <v>59000</v>
      </c>
      <c r="G1904" s="1">
        <v>2.5000000000000001E-3</v>
      </c>
      <c r="H1904" s="1">
        <v>2.5000000000000001E-3</v>
      </c>
      <c r="I1904" s="1">
        <v>2.5000000000000001E-3</v>
      </c>
      <c r="J1904" s="1">
        <v>0.37019999999999997</v>
      </c>
    </row>
    <row r="1905" spans="1:10" x14ac:dyDescent="0.2">
      <c r="A1905" t="str">
        <f>"19/12/2018"</f>
        <v>19/12/2018</v>
      </c>
      <c r="B1905">
        <v>1</v>
      </c>
      <c r="C1905">
        <v>59000</v>
      </c>
      <c r="D1905">
        <v>145288</v>
      </c>
      <c r="E1905">
        <v>59000</v>
      </c>
      <c r="F1905">
        <v>59000</v>
      </c>
      <c r="G1905" s="1">
        <v>2.5000000000000001E-3</v>
      </c>
      <c r="H1905" s="1">
        <v>2.5000000000000001E-3</v>
      </c>
      <c r="I1905" s="1">
        <v>2.5000000000000001E-3</v>
      </c>
      <c r="J1905" s="1">
        <v>0.34610000000000002</v>
      </c>
    </row>
    <row r="1906" spans="1:10" x14ac:dyDescent="0.2">
      <c r="A1906" t="str">
        <f>"18/12/2018"</f>
        <v>18/12/2018</v>
      </c>
      <c r="B1906">
        <v>1</v>
      </c>
      <c r="C1906">
        <v>59000</v>
      </c>
      <c r="D1906">
        <v>150012</v>
      </c>
      <c r="E1906">
        <v>59000</v>
      </c>
      <c r="F1906">
        <v>59000</v>
      </c>
      <c r="G1906" s="1">
        <v>2.5000000000000001E-3</v>
      </c>
      <c r="H1906" s="1">
        <v>2.5000000000000001E-3</v>
      </c>
      <c r="I1906" s="1">
        <v>2.5000000000000001E-3</v>
      </c>
      <c r="J1906" s="1">
        <v>0.33129999999999998</v>
      </c>
    </row>
    <row r="1907" spans="1:10" x14ac:dyDescent="0.2">
      <c r="A1907" t="str">
        <f>"17/12/2018"</f>
        <v>17/12/2018</v>
      </c>
      <c r="B1907">
        <v>1</v>
      </c>
      <c r="C1907">
        <v>61000</v>
      </c>
      <c r="D1907">
        <v>143903</v>
      </c>
      <c r="E1907">
        <v>61000</v>
      </c>
      <c r="F1907">
        <v>61000</v>
      </c>
      <c r="G1907" s="1">
        <v>2.5000000000000001E-3</v>
      </c>
      <c r="H1907" s="1">
        <v>2.5000000000000001E-3</v>
      </c>
      <c r="I1907" s="1">
        <v>2.5000000000000001E-3</v>
      </c>
      <c r="J1907" s="1">
        <v>0.3523</v>
      </c>
    </row>
    <row r="1908" spans="1:10" x14ac:dyDescent="0.2">
      <c r="A1908" t="str">
        <f>"16/12/2018"</f>
        <v>16/12/2018</v>
      </c>
      <c r="B1908">
        <v>1</v>
      </c>
      <c r="C1908">
        <v>66000</v>
      </c>
      <c r="D1908">
        <v>155061</v>
      </c>
      <c r="E1908">
        <v>66000</v>
      </c>
      <c r="F1908">
        <v>66000</v>
      </c>
      <c r="G1908" s="1">
        <v>2.5000000000000001E-3</v>
      </c>
      <c r="H1908" s="1">
        <v>2.5000000000000001E-3</v>
      </c>
      <c r="I1908" s="1">
        <v>2.5000000000000001E-3</v>
      </c>
      <c r="J1908" s="1">
        <v>0.36990000000000001</v>
      </c>
    </row>
    <row r="1909" spans="1:10" x14ac:dyDescent="0.2">
      <c r="A1909" t="str">
        <f>"13/12/2018"</f>
        <v>13/12/2018</v>
      </c>
      <c r="B1909">
        <v>3</v>
      </c>
      <c r="C1909">
        <v>71000</v>
      </c>
      <c r="D1909">
        <v>162885</v>
      </c>
      <c r="E1909">
        <v>71000</v>
      </c>
      <c r="F1909">
        <v>71000</v>
      </c>
      <c r="G1909" s="1">
        <v>2.5000000000000001E-3</v>
      </c>
      <c r="H1909" s="1">
        <v>2.5000000000000001E-3</v>
      </c>
      <c r="I1909" s="1">
        <v>2.5000000000000001E-3</v>
      </c>
      <c r="J1909" s="1">
        <v>0.3765</v>
      </c>
    </row>
    <row r="1910" spans="1:10" x14ac:dyDescent="0.2">
      <c r="A1910" t="str">
        <f>"12/12/2018"</f>
        <v>12/12/2018</v>
      </c>
      <c r="B1910">
        <v>1</v>
      </c>
      <c r="C1910">
        <v>71000</v>
      </c>
      <c r="D1910">
        <v>164675</v>
      </c>
      <c r="E1910">
        <v>71000</v>
      </c>
      <c r="F1910">
        <v>71000</v>
      </c>
      <c r="G1910" s="1">
        <v>2.5000000000000001E-3</v>
      </c>
      <c r="H1910" s="1">
        <v>2.5000000000000001E-3</v>
      </c>
      <c r="I1910" s="1">
        <v>2.5000000000000001E-3</v>
      </c>
      <c r="J1910" s="1">
        <v>0.38109999999999999</v>
      </c>
    </row>
    <row r="1911" spans="1:10" x14ac:dyDescent="0.2">
      <c r="A1911" t="str">
        <f>"11/12/2018"</f>
        <v>11/12/2018</v>
      </c>
      <c r="B1911">
        <v>1</v>
      </c>
      <c r="C1911">
        <v>71000</v>
      </c>
      <c r="D1911">
        <v>173876</v>
      </c>
      <c r="E1911">
        <v>71000</v>
      </c>
      <c r="F1911">
        <v>71000</v>
      </c>
      <c r="G1911" s="1">
        <v>2.5000000000000001E-3</v>
      </c>
      <c r="H1911" s="1">
        <v>2.5000000000000001E-3</v>
      </c>
      <c r="I1911" s="1">
        <v>2.5000000000000001E-3</v>
      </c>
      <c r="J1911" s="1">
        <v>0.36009999999999998</v>
      </c>
    </row>
    <row r="1912" spans="1:10" x14ac:dyDescent="0.2">
      <c r="A1912" t="str">
        <f>"10/12/2018"</f>
        <v>10/12/2018</v>
      </c>
      <c r="B1912">
        <v>1</v>
      </c>
      <c r="C1912">
        <v>72000</v>
      </c>
      <c r="D1912">
        <v>170313</v>
      </c>
      <c r="E1912">
        <v>72000</v>
      </c>
      <c r="F1912">
        <v>72000</v>
      </c>
      <c r="G1912" s="1">
        <v>2.5000000000000001E-3</v>
      </c>
      <c r="H1912" s="1">
        <v>2.2000000000000001E-3</v>
      </c>
      <c r="I1912" s="1">
        <v>2.2000000000000001E-3</v>
      </c>
      <c r="J1912" s="1">
        <v>0.31730000000000003</v>
      </c>
    </row>
    <row r="1913" spans="1:10" x14ac:dyDescent="0.2">
      <c r="A1913" t="str">
        <f>"09/12/2018"</f>
        <v>09/12/2018</v>
      </c>
      <c r="B1913">
        <v>1</v>
      </c>
      <c r="C1913">
        <v>72000</v>
      </c>
      <c r="D1913">
        <v>174113</v>
      </c>
      <c r="E1913">
        <v>72000</v>
      </c>
      <c r="F1913">
        <v>72000</v>
      </c>
      <c r="G1913" s="1">
        <v>2.5000000000000001E-3</v>
      </c>
      <c r="H1913" s="1">
        <v>2.5000000000000001E-3</v>
      </c>
      <c r="I1913" s="1">
        <v>2.5000000000000001E-3</v>
      </c>
      <c r="J1913" s="1">
        <v>0.35780000000000001</v>
      </c>
    </row>
    <row r="1914" spans="1:10" x14ac:dyDescent="0.2">
      <c r="A1914" t="str">
        <f>"06/12/2018"</f>
        <v>06/12/2018</v>
      </c>
      <c r="B1914">
        <v>3</v>
      </c>
      <c r="C1914">
        <v>71000</v>
      </c>
      <c r="D1914">
        <v>182847</v>
      </c>
      <c r="E1914">
        <v>71000</v>
      </c>
      <c r="F1914">
        <v>71000</v>
      </c>
      <c r="G1914" s="1">
        <v>2.5000000000000001E-3</v>
      </c>
      <c r="H1914" s="1">
        <v>2.5000000000000001E-3</v>
      </c>
      <c r="I1914" s="1">
        <v>2.5000000000000001E-3</v>
      </c>
      <c r="J1914" s="1">
        <v>0.33360000000000001</v>
      </c>
    </row>
    <row r="1915" spans="1:10" x14ac:dyDescent="0.2">
      <c r="A1915" t="str">
        <f>"05/12/2018"</f>
        <v>05/12/2018</v>
      </c>
      <c r="B1915">
        <v>1</v>
      </c>
      <c r="C1915">
        <v>71000</v>
      </c>
      <c r="D1915">
        <v>172657</v>
      </c>
      <c r="E1915">
        <v>71000</v>
      </c>
      <c r="F1915">
        <v>71000</v>
      </c>
      <c r="G1915" s="1">
        <v>2.5000000000000001E-3</v>
      </c>
      <c r="H1915" s="1">
        <v>2.5000000000000001E-3</v>
      </c>
      <c r="I1915" s="1">
        <v>2.5000000000000001E-3</v>
      </c>
      <c r="J1915" s="1">
        <v>0.3548</v>
      </c>
    </row>
    <row r="1916" spans="1:10" x14ac:dyDescent="0.2">
      <c r="A1916" t="str">
        <f>"04/12/2018"</f>
        <v>04/12/2018</v>
      </c>
      <c r="B1916">
        <v>1</v>
      </c>
      <c r="C1916">
        <v>72000</v>
      </c>
      <c r="D1916">
        <v>154580</v>
      </c>
      <c r="E1916">
        <v>72000</v>
      </c>
      <c r="F1916">
        <v>72000</v>
      </c>
      <c r="G1916" s="1">
        <v>2.5000000000000001E-3</v>
      </c>
      <c r="H1916" s="1">
        <v>2.5000000000000001E-3</v>
      </c>
      <c r="I1916" s="1">
        <v>2.5000000000000001E-3</v>
      </c>
      <c r="J1916" s="1">
        <v>0.4022</v>
      </c>
    </row>
    <row r="1917" spans="1:10" x14ac:dyDescent="0.2">
      <c r="A1917" t="str">
        <f>"03/12/2018"</f>
        <v>03/12/2018</v>
      </c>
      <c r="B1917">
        <v>1</v>
      </c>
      <c r="C1917">
        <v>72000</v>
      </c>
      <c r="D1917">
        <v>138390</v>
      </c>
      <c r="E1917">
        <v>72000</v>
      </c>
      <c r="F1917">
        <v>72000</v>
      </c>
      <c r="G1917" s="1">
        <v>2.5000000000000001E-3</v>
      </c>
      <c r="H1917" s="1">
        <v>2.5000000000000001E-3</v>
      </c>
      <c r="I1917" s="1">
        <v>2.5000000000000001E-3</v>
      </c>
      <c r="J1917" s="1">
        <v>0.4662</v>
      </c>
    </row>
    <row r="1918" spans="1:10" x14ac:dyDescent="0.2">
      <c r="A1918" t="str">
        <f>"02/12/2018"</f>
        <v>02/12/2018</v>
      </c>
      <c r="B1918">
        <v>1</v>
      </c>
      <c r="C1918">
        <v>70000</v>
      </c>
      <c r="D1918">
        <v>106698</v>
      </c>
      <c r="E1918">
        <v>70000</v>
      </c>
      <c r="F1918">
        <v>70000</v>
      </c>
      <c r="G1918" s="1">
        <v>2.5000000000000001E-3</v>
      </c>
      <c r="H1918" s="1">
        <v>2.5000000000000001E-3</v>
      </c>
      <c r="I1918" s="1">
        <v>2.5000000000000001E-3</v>
      </c>
      <c r="J1918" s="1">
        <v>0.59909999999999997</v>
      </c>
    </row>
    <row r="1919" spans="1:10" x14ac:dyDescent="0.2">
      <c r="A1919" t="str">
        <f>"29/11/2018"</f>
        <v>29/11/2018</v>
      </c>
      <c r="B1919">
        <v>3</v>
      </c>
      <c r="C1919">
        <v>61000</v>
      </c>
      <c r="D1919">
        <v>82415</v>
      </c>
      <c r="E1919">
        <v>61000</v>
      </c>
      <c r="F1919">
        <v>61000</v>
      </c>
      <c r="G1919" s="1">
        <v>2.5000000000000001E-3</v>
      </c>
      <c r="H1919" s="1">
        <v>2.5000000000000001E-3</v>
      </c>
      <c r="I1919" s="1">
        <v>2.5000000000000001E-3</v>
      </c>
      <c r="J1919" s="1">
        <v>0.68779999999999997</v>
      </c>
    </row>
    <row r="1920" spans="1:10" x14ac:dyDescent="0.2">
      <c r="A1920" t="str">
        <f>"28/11/2018"</f>
        <v>28/11/2018</v>
      </c>
      <c r="B1920">
        <v>1</v>
      </c>
      <c r="C1920">
        <v>54000</v>
      </c>
      <c r="D1920">
        <v>52510</v>
      </c>
      <c r="E1920">
        <v>52510</v>
      </c>
      <c r="F1920">
        <v>52510</v>
      </c>
      <c r="G1920" s="1">
        <v>1E-3</v>
      </c>
      <c r="H1920" s="1">
        <v>1E-3</v>
      </c>
      <c r="I1920" s="1">
        <v>1E-3</v>
      </c>
      <c r="J1920" s="1">
        <v>1</v>
      </c>
    </row>
    <row r="1921" spans="1:10" x14ac:dyDescent="0.2">
      <c r="A1921" t="str">
        <f>"27/11/2018"</f>
        <v>27/11/2018</v>
      </c>
      <c r="B1921">
        <v>1</v>
      </c>
      <c r="C1921">
        <v>54000</v>
      </c>
      <c r="D1921">
        <v>100160</v>
      </c>
      <c r="E1921">
        <v>54000</v>
      </c>
      <c r="F1921">
        <v>54000</v>
      </c>
      <c r="G1921" s="1">
        <v>1E-3</v>
      </c>
      <c r="H1921" s="1">
        <v>1E-3</v>
      </c>
      <c r="I1921" s="1">
        <v>1E-3</v>
      </c>
      <c r="J1921" s="1">
        <v>0.42480000000000001</v>
      </c>
    </row>
    <row r="1922" spans="1:10" x14ac:dyDescent="0.2">
      <c r="A1922" t="str">
        <f>"26/11/2018"</f>
        <v>26/11/2018</v>
      </c>
      <c r="B1922">
        <v>1</v>
      </c>
      <c r="C1922">
        <v>56000</v>
      </c>
      <c r="D1922">
        <v>111080</v>
      </c>
      <c r="E1922">
        <v>56000</v>
      </c>
      <c r="F1922">
        <v>56000</v>
      </c>
      <c r="G1922" s="1">
        <v>1E-3</v>
      </c>
      <c r="H1922" s="1">
        <v>1E-3</v>
      </c>
      <c r="I1922" s="1">
        <v>1E-3</v>
      </c>
      <c r="J1922" s="1">
        <v>0.41839999999999999</v>
      </c>
    </row>
    <row r="1923" spans="1:10" x14ac:dyDescent="0.2">
      <c r="A1923" t="str">
        <f>"25/11/2018"</f>
        <v>25/11/2018</v>
      </c>
      <c r="B1923">
        <v>1</v>
      </c>
      <c r="C1923">
        <v>56000</v>
      </c>
      <c r="D1923">
        <v>118211</v>
      </c>
      <c r="E1923">
        <v>56000</v>
      </c>
      <c r="F1923">
        <v>56000</v>
      </c>
      <c r="G1923" s="1">
        <v>1E-3</v>
      </c>
      <c r="H1923" s="1">
        <v>1E-3</v>
      </c>
      <c r="I1923" s="1">
        <v>1E-3</v>
      </c>
      <c r="J1923" s="1">
        <v>0.39639999999999997</v>
      </c>
    </row>
    <row r="1924" spans="1:10" x14ac:dyDescent="0.2">
      <c r="A1924" t="str">
        <f>"22/11/2018"</f>
        <v>22/11/2018</v>
      </c>
      <c r="B1924">
        <v>3</v>
      </c>
      <c r="C1924">
        <v>55000</v>
      </c>
      <c r="D1924">
        <v>124205</v>
      </c>
      <c r="E1924">
        <v>55000</v>
      </c>
      <c r="F1924">
        <v>55000</v>
      </c>
      <c r="G1924" s="1">
        <v>1E-3</v>
      </c>
      <c r="H1924" s="1">
        <v>1E-3</v>
      </c>
      <c r="I1924" s="1">
        <v>1E-3</v>
      </c>
      <c r="J1924" s="1">
        <v>0.34799999999999998</v>
      </c>
    </row>
    <row r="1925" spans="1:10" x14ac:dyDescent="0.2">
      <c r="A1925" t="str">
        <f>"21/11/2018"</f>
        <v>21/11/2018</v>
      </c>
      <c r="B1925">
        <v>1</v>
      </c>
      <c r="C1925">
        <v>63000</v>
      </c>
      <c r="D1925">
        <v>133800</v>
      </c>
      <c r="E1925">
        <v>63000</v>
      </c>
      <c r="F1925">
        <v>63000</v>
      </c>
      <c r="G1925" s="1">
        <v>1E-3</v>
      </c>
      <c r="H1925" s="1">
        <v>1E-3</v>
      </c>
      <c r="I1925" s="1">
        <v>1E-3</v>
      </c>
      <c r="J1925" s="1">
        <v>0.39639999999999997</v>
      </c>
    </row>
    <row r="1926" spans="1:10" x14ac:dyDescent="0.2">
      <c r="A1926" t="str">
        <f>"20/11/2018"</f>
        <v>20/11/2018</v>
      </c>
      <c r="B1926">
        <v>1</v>
      </c>
      <c r="C1926">
        <v>64000</v>
      </c>
      <c r="D1926">
        <v>160012</v>
      </c>
      <c r="E1926">
        <v>64000</v>
      </c>
      <c r="F1926">
        <v>64000</v>
      </c>
      <c r="G1926" s="1">
        <v>1E-3</v>
      </c>
      <c r="H1926" s="1">
        <v>1E-3</v>
      </c>
      <c r="I1926" s="1">
        <v>1E-3</v>
      </c>
      <c r="J1926" s="1">
        <v>0.32940000000000003</v>
      </c>
    </row>
    <row r="1927" spans="1:10" x14ac:dyDescent="0.2">
      <c r="A1927" t="str">
        <f>"19/11/2018"</f>
        <v>19/11/2018</v>
      </c>
      <c r="B1927">
        <v>1</v>
      </c>
      <c r="C1927">
        <v>62000</v>
      </c>
      <c r="D1927">
        <v>163697</v>
      </c>
      <c r="E1927">
        <v>62000</v>
      </c>
      <c r="F1927">
        <v>62000</v>
      </c>
      <c r="G1927" s="1">
        <v>1E-3</v>
      </c>
      <c r="H1927" s="1">
        <v>1E-3</v>
      </c>
      <c r="I1927" s="1">
        <v>1E-3</v>
      </c>
      <c r="J1927" s="1">
        <v>0.30509999999999998</v>
      </c>
    </row>
    <row r="1928" spans="1:10" x14ac:dyDescent="0.2">
      <c r="A1928" t="str">
        <f>"18/11/2018"</f>
        <v>18/11/2018</v>
      </c>
      <c r="B1928">
        <v>1</v>
      </c>
      <c r="C1928">
        <v>63000</v>
      </c>
      <c r="D1928">
        <v>173714</v>
      </c>
      <c r="E1928">
        <v>63000</v>
      </c>
      <c r="F1928">
        <v>63000</v>
      </c>
      <c r="G1928" s="1">
        <v>1E-3</v>
      </c>
      <c r="H1928" s="1">
        <v>1E-3</v>
      </c>
      <c r="I1928" s="1">
        <v>1E-3</v>
      </c>
      <c r="J1928" s="1">
        <v>0.30609999999999998</v>
      </c>
    </row>
    <row r="1929" spans="1:10" x14ac:dyDescent="0.2">
      <c r="A1929" t="str">
        <f>"15/11/2018"</f>
        <v>15/11/2018</v>
      </c>
      <c r="B1929">
        <v>3</v>
      </c>
      <c r="C1929">
        <v>65000</v>
      </c>
      <c r="D1929">
        <v>168000</v>
      </c>
      <c r="E1929">
        <v>65000</v>
      </c>
      <c r="F1929">
        <v>65000</v>
      </c>
      <c r="G1929" s="1">
        <v>1E-3</v>
      </c>
      <c r="H1929" s="1">
        <v>1E-3</v>
      </c>
      <c r="I1929" s="1">
        <v>1E-3</v>
      </c>
      <c r="J1929" s="1">
        <v>0.32240000000000002</v>
      </c>
    </row>
    <row r="1930" spans="1:10" x14ac:dyDescent="0.2">
      <c r="A1930" t="str">
        <f>"15/11/2018"</f>
        <v>15/11/2018</v>
      </c>
      <c r="B1930">
        <v>1</v>
      </c>
      <c r="C1930">
        <v>10000</v>
      </c>
      <c r="D1930">
        <v>12300</v>
      </c>
      <c r="E1930">
        <v>10000</v>
      </c>
      <c r="F1930">
        <v>10000</v>
      </c>
      <c r="G1930" s="1">
        <v>1E-3</v>
      </c>
      <c r="H1930" s="1">
        <v>1E-3</v>
      </c>
      <c r="I1930" s="1">
        <v>1E-3</v>
      </c>
      <c r="J1930" s="1">
        <v>0.81299999999999994</v>
      </c>
    </row>
    <row r="1931" spans="1:10" x14ac:dyDescent="0.2">
      <c r="A1931" t="str">
        <f>"14/11/2018"</f>
        <v>14/11/2018</v>
      </c>
      <c r="B1931">
        <v>1</v>
      </c>
      <c r="C1931">
        <v>75000</v>
      </c>
      <c r="D1931">
        <v>172879</v>
      </c>
      <c r="E1931">
        <v>75000</v>
      </c>
      <c r="F1931">
        <v>75000</v>
      </c>
      <c r="G1931" s="1">
        <v>1E-3</v>
      </c>
      <c r="H1931" s="1">
        <v>1E-3</v>
      </c>
      <c r="I1931" s="1">
        <v>1E-3</v>
      </c>
      <c r="J1931" s="1">
        <v>0.3644</v>
      </c>
    </row>
    <row r="1932" spans="1:10" x14ac:dyDescent="0.2">
      <c r="A1932" t="str">
        <f>"13/11/2018"</f>
        <v>13/11/2018</v>
      </c>
      <c r="B1932">
        <v>1</v>
      </c>
      <c r="C1932">
        <v>75000</v>
      </c>
      <c r="D1932">
        <v>186192</v>
      </c>
      <c r="E1932">
        <v>75000</v>
      </c>
      <c r="F1932">
        <v>75000</v>
      </c>
      <c r="G1932" s="1">
        <v>1E-3</v>
      </c>
      <c r="H1932" s="1">
        <v>1E-3</v>
      </c>
      <c r="I1932" s="1">
        <v>1E-3</v>
      </c>
      <c r="J1932" s="1">
        <v>0.34010000000000001</v>
      </c>
    </row>
    <row r="1933" spans="1:10" x14ac:dyDescent="0.2">
      <c r="A1933" t="str">
        <f>"12/11/2018"</f>
        <v>12/11/2018</v>
      </c>
      <c r="B1933">
        <v>1</v>
      </c>
      <c r="C1933">
        <v>75000</v>
      </c>
      <c r="D1933">
        <v>192242</v>
      </c>
      <c r="E1933">
        <v>75000</v>
      </c>
      <c r="F1933">
        <v>75000</v>
      </c>
      <c r="G1933" s="1">
        <v>1E-3</v>
      </c>
      <c r="H1933" s="1">
        <v>1E-3</v>
      </c>
      <c r="I1933" s="1">
        <v>1E-3</v>
      </c>
      <c r="J1933" s="1">
        <v>0.32129999999999997</v>
      </c>
    </row>
    <row r="1934" spans="1:10" x14ac:dyDescent="0.2">
      <c r="A1934" t="str">
        <f>"11/11/2018"</f>
        <v>11/11/2018</v>
      </c>
      <c r="B1934">
        <v>1</v>
      </c>
      <c r="C1934">
        <v>75000</v>
      </c>
      <c r="D1934">
        <v>198712</v>
      </c>
      <c r="E1934">
        <v>75000</v>
      </c>
      <c r="F1934">
        <v>75000</v>
      </c>
      <c r="G1934" s="1">
        <v>1E-3</v>
      </c>
      <c r="H1934" s="1">
        <v>1E-3</v>
      </c>
      <c r="I1934" s="1">
        <v>1E-3</v>
      </c>
      <c r="J1934" s="1">
        <v>0.31230000000000002</v>
      </c>
    </row>
    <row r="1935" spans="1:10" x14ac:dyDescent="0.2">
      <c r="A1935" t="str">
        <f>"08/11/2018"</f>
        <v>08/11/2018</v>
      </c>
      <c r="B1935">
        <v>3</v>
      </c>
      <c r="C1935">
        <v>76000</v>
      </c>
      <c r="D1935">
        <v>206985</v>
      </c>
      <c r="E1935">
        <v>76000</v>
      </c>
      <c r="F1935">
        <v>76000</v>
      </c>
      <c r="G1935" s="1">
        <v>1E-3</v>
      </c>
      <c r="H1935" s="1">
        <v>1E-3</v>
      </c>
      <c r="I1935" s="1">
        <v>1E-3</v>
      </c>
      <c r="J1935" s="1">
        <v>0.30049999999999999</v>
      </c>
    </row>
    <row r="1936" spans="1:10" x14ac:dyDescent="0.2">
      <c r="A1936" t="str">
        <f>"07/11/2018"</f>
        <v>07/11/2018</v>
      </c>
      <c r="B1936">
        <v>1</v>
      </c>
      <c r="C1936">
        <v>76000</v>
      </c>
      <c r="D1936">
        <v>205065</v>
      </c>
      <c r="E1936">
        <v>76000</v>
      </c>
      <c r="F1936">
        <v>76000</v>
      </c>
      <c r="G1936" s="1">
        <v>1E-3</v>
      </c>
      <c r="H1936" s="1">
        <v>1E-3</v>
      </c>
      <c r="I1936" s="1">
        <v>1E-3</v>
      </c>
      <c r="J1936" s="1">
        <v>0.29720000000000002</v>
      </c>
    </row>
    <row r="1937" spans="1:10" x14ac:dyDescent="0.2">
      <c r="A1937" t="str">
        <f>"06/11/2018"</f>
        <v>06/11/2018</v>
      </c>
      <c r="B1937">
        <v>1</v>
      </c>
      <c r="C1937">
        <v>78000</v>
      </c>
      <c r="D1937">
        <v>212921</v>
      </c>
      <c r="E1937">
        <v>78000</v>
      </c>
      <c r="F1937">
        <v>78000</v>
      </c>
      <c r="G1937" s="1">
        <v>1E-3</v>
      </c>
      <c r="H1937" s="1">
        <v>1E-3</v>
      </c>
      <c r="I1937" s="1">
        <v>1E-3</v>
      </c>
      <c r="J1937" s="1">
        <v>0.30740000000000001</v>
      </c>
    </row>
    <row r="1938" spans="1:10" x14ac:dyDescent="0.2">
      <c r="A1938" t="str">
        <f>"05/11/2018"</f>
        <v>05/11/2018</v>
      </c>
      <c r="B1938">
        <v>1</v>
      </c>
      <c r="C1938">
        <v>78000</v>
      </c>
      <c r="D1938">
        <v>190965</v>
      </c>
      <c r="E1938">
        <v>78000</v>
      </c>
      <c r="F1938">
        <v>78000</v>
      </c>
      <c r="G1938" s="1">
        <v>1E-3</v>
      </c>
      <c r="H1938" s="1">
        <v>1E-3</v>
      </c>
      <c r="I1938" s="1">
        <v>1E-3</v>
      </c>
      <c r="J1938" s="1">
        <v>0.34589999999999999</v>
      </c>
    </row>
    <row r="1939" spans="1:10" x14ac:dyDescent="0.2">
      <c r="A1939" t="str">
        <f>"04/11/2018"</f>
        <v>04/11/2018</v>
      </c>
      <c r="B1939">
        <v>1</v>
      </c>
      <c r="C1939">
        <v>77000</v>
      </c>
      <c r="D1939">
        <v>166482</v>
      </c>
      <c r="E1939">
        <v>77000</v>
      </c>
      <c r="F1939">
        <v>77000</v>
      </c>
      <c r="G1939" s="1">
        <v>1E-3</v>
      </c>
      <c r="H1939" s="1">
        <v>1E-3</v>
      </c>
      <c r="I1939" s="1">
        <v>1E-3</v>
      </c>
      <c r="J1939" s="1">
        <v>0.39779999999999999</v>
      </c>
    </row>
    <row r="1940" spans="1:10" x14ac:dyDescent="0.2">
      <c r="A1940" t="str">
        <f>"01/11/2018"</f>
        <v>01/11/2018</v>
      </c>
      <c r="B1940">
        <v>3</v>
      </c>
      <c r="C1940">
        <v>77000</v>
      </c>
      <c r="D1940">
        <v>153313</v>
      </c>
      <c r="E1940">
        <v>77000</v>
      </c>
      <c r="F1940">
        <v>77000</v>
      </c>
      <c r="G1940" s="1">
        <v>1E-3</v>
      </c>
      <c r="H1940" s="1">
        <v>1E-3</v>
      </c>
      <c r="I1940" s="1">
        <v>1E-3</v>
      </c>
      <c r="J1940" s="1">
        <v>0.43359999999999999</v>
      </c>
    </row>
    <row r="1941" spans="1:10" x14ac:dyDescent="0.2">
      <c r="A1941" t="str">
        <f>"31/10/2018"</f>
        <v>31/10/2018</v>
      </c>
      <c r="B1941">
        <v>1</v>
      </c>
      <c r="C1941">
        <v>68000</v>
      </c>
      <c r="D1941">
        <v>139820</v>
      </c>
      <c r="E1941">
        <v>68000</v>
      </c>
      <c r="F1941">
        <v>68000</v>
      </c>
      <c r="G1941" s="1">
        <v>1E-3</v>
      </c>
      <c r="H1941" s="1">
        <v>1E-3</v>
      </c>
      <c r="I1941" s="1">
        <v>1E-3</v>
      </c>
      <c r="J1941" s="1">
        <v>0.40079999999999999</v>
      </c>
    </row>
    <row r="1942" spans="1:10" x14ac:dyDescent="0.2">
      <c r="A1942" t="str">
        <f>"29/10/2018"</f>
        <v>29/10/2018</v>
      </c>
      <c r="B1942">
        <v>2</v>
      </c>
      <c r="C1942">
        <v>57000</v>
      </c>
      <c r="D1942">
        <v>110434</v>
      </c>
      <c r="E1942">
        <v>57000</v>
      </c>
      <c r="F1942">
        <v>57000</v>
      </c>
      <c r="G1942" s="1">
        <v>1E-3</v>
      </c>
      <c r="H1942" s="1">
        <v>1E-3</v>
      </c>
      <c r="I1942" s="1">
        <v>1E-3</v>
      </c>
      <c r="J1942" s="1">
        <v>0.4259</v>
      </c>
    </row>
    <row r="1943" spans="1:10" x14ac:dyDescent="0.2">
      <c r="A1943" t="str">
        <f>"28/10/2018"</f>
        <v>28/10/2018</v>
      </c>
      <c r="B1943">
        <v>1</v>
      </c>
      <c r="C1943">
        <v>57000</v>
      </c>
      <c r="D1943">
        <v>115701</v>
      </c>
      <c r="E1943">
        <v>57000</v>
      </c>
      <c r="F1943">
        <v>57000</v>
      </c>
      <c r="G1943" s="1">
        <v>1E-3</v>
      </c>
      <c r="H1943" s="1">
        <v>1E-3</v>
      </c>
      <c r="I1943" s="1">
        <v>1E-3</v>
      </c>
      <c r="J1943" s="1">
        <v>0.42299999999999999</v>
      </c>
    </row>
    <row r="1944" spans="1:10" x14ac:dyDescent="0.2">
      <c r="A1944" t="str">
        <f>"25/10/2018"</f>
        <v>25/10/2018</v>
      </c>
      <c r="B1944">
        <v>3</v>
      </c>
      <c r="C1944">
        <v>53000</v>
      </c>
      <c r="D1944">
        <v>114465</v>
      </c>
      <c r="E1944">
        <v>53000</v>
      </c>
      <c r="F1944">
        <v>53000</v>
      </c>
      <c r="G1944" s="1">
        <v>1E-3</v>
      </c>
      <c r="H1944" s="1">
        <v>1E-3</v>
      </c>
      <c r="I1944" s="1">
        <v>1E-3</v>
      </c>
      <c r="J1944" s="1">
        <v>0.37319999999999998</v>
      </c>
    </row>
    <row r="1945" spans="1:10" x14ac:dyDescent="0.2">
      <c r="A1945" t="str">
        <f>"24/10/2018"</f>
        <v>24/10/2018</v>
      </c>
      <c r="B1945">
        <v>1</v>
      </c>
      <c r="C1945">
        <v>52000</v>
      </c>
      <c r="D1945">
        <v>111791</v>
      </c>
      <c r="E1945">
        <v>52000</v>
      </c>
      <c r="F1945">
        <v>52000</v>
      </c>
      <c r="G1945" s="1">
        <v>1E-3</v>
      </c>
      <c r="H1945" s="1">
        <v>1E-3</v>
      </c>
      <c r="I1945" s="1">
        <v>1E-3</v>
      </c>
      <c r="J1945" s="1">
        <v>0.37190000000000001</v>
      </c>
    </row>
    <row r="1946" spans="1:10" x14ac:dyDescent="0.2">
      <c r="A1946" t="str">
        <f>"23/10/2018"</f>
        <v>23/10/2018</v>
      </c>
      <c r="B1946">
        <v>1</v>
      </c>
      <c r="C1946">
        <v>52000</v>
      </c>
      <c r="D1946">
        <v>115854</v>
      </c>
      <c r="E1946">
        <v>52000</v>
      </c>
      <c r="F1946">
        <v>52000</v>
      </c>
      <c r="G1946" s="1">
        <v>1E-3</v>
      </c>
      <c r="H1946" s="1">
        <v>1E-3</v>
      </c>
      <c r="I1946" s="1">
        <v>1E-3</v>
      </c>
      <c r="J1946" s="1">
        <v>0.37459999999999999</v>
      </c>
    </row>
    <row r="1947" spans="1:10" x14ac:dyDescent="0.2">
      <c r="A1947" t="str">
        <f>"22/10/2018"</f>
        <v>22/10/2018</v>
      </c>
      <c r="B1947">
        <v>1</v>
      </c>
      <c r="C1947">
        <v>54000</v>
      </c>
      <c r="D1947">
        <v>110850</v>
      </c>
      <c r="E1947">
        <v>54000</v>
      </c>
      <c r="F1947">
        <v>54000</v>
      </c>
      <c r="G1947" s="1">
        <v>1E-3</v>
      </c>
      <c r="H1947" s="1">
        <v>1E-3</v>
      </c>
      <c r="I1947" s="1">
        <v>1E-3</v>
      </c>
      <c r="J1947" s="1">
        <v>0.41539999999999999</v>
      </c>
    </row>
    <row r="1948" spans="1:10" x14ac:dyDescent="0.2">
      <c r="A1948" t="str">
        <f>"21/10/2018"</f>
        <v>21/10/2018</v>
      </c>
      <c r="B1948">
        <v>1</v>
      </c>
      <c r="C1948">
        <v>56000</v>
      </c>
      <c r="D1948">
        <v>108701</v>
      </c>
      <c r="E1948">
        <v>56000</v>
      </c>
      <c r="F1948">
        <v>56000</v>
      </c>
      <c r="G1948" s="1">
        <v>1E-3</v>
      </c>
      <c r="H1948" s="1">
        <v>1E-3</v>
      </c>
      <c r="I1948" s="1">
        <v>1E-3</v>
      </c>
      <c r="J1948" s="1">
        <v>0.4531</v>
      </c>
    </row>
    <row r="1949" spans="1:10" x14ac:dyDescent="0.2">
      <c r="A1949" t="str">
        <f>"18/10/2018"</f>
        <v>18/10/2018</v>
      </c>
      <c r="B1949">
        <v>3</v>
      </c>
      <c r="C1949">
        <v>57000</v>
      </c>
      <c r="D1949">
        <v>108639</v>
      </c>
      <c r="E1949">
        <v>57000</v>
      </c>
      <c r="F1949">
        <v>57000</v>
      </c>
      <c r="G1949" s="1">
        <v>1E-3</v>
      </c>
      <c r="H1949" s="1">
        <v>1E-3</v>
      </c>
      <c r="I1949" s="1">
        <v>1E-3</v>
      </c>
      <c r="J1949" s="1">
        <v>0.45979999999999999</v>
      </c>
    </row>
    <row r="1950" spans="1:10" x14ac:dyDescent="0.2">
      <c r="A1950" t="str">
        <f>"17/10/2018"</f>
        <v>17/10/2018</v>
      </c>
      <c r="B1950">
        <v>1</v>
      </c>
      <c r="C1950">
        <v>58000</v>
      </c>
      <c r="D1950">
        <v>106888</v>
      </c>
      <c r="E1950">
        <v>58000</v>
      </c>
      <c r="F1950">
        <v>58000</v>
      </c>
      <c r="G1950" s="1">
        <v>1E-3</v>
      </c>
      <c r="H1950" s="1">
        <v>1E-3</v>
      </c>
      <c r="I1950" s="1">
        <v>1E-3</v>
      </c>
      <c r="J1950" s="1">
        <v>0.47760000000000002</v>
      </c>
    </row>
    <row r="1951" spans="1:10" x14ac:dyDescent="0.2">
      <c r="A1951" t="str">
        <f>"16/10/2018"</f>
        <v>16/10/2018</v>
      </c>
      <c r="B1951">
        <v>1</v>
      </c>
      <c r="C1951">
        <v>60000</v>
      </c>
      <c r="D1951">
        <v>98902</v>
      </c>
      <c r="E1951">
        <v>60000</v>
      </c>
      <c r="F1951">
        <v>60000</v>
      </c>
      <c r="G1951" s="1">
        <v>1E-3</v>
      </c>
      <c r="H1951" s="1">
        <v>1E-3</v>
      </c>
      <c r="I1951" s="1">
        <v>1E-3</v>
      </c>
      <c r="J1951" s="1">
        <v>0.53580000000000005</v>
      </c>
    </row>
    <row r="1952" spans="1:10" x14ac:dyDescent="0.2">
      <c r="A1952" t="str">
        <f>"15/10/2018"</f>
        <v>15/10/2018</v>
      </c>
      <c r="B1952">
        <v>1</v>
      </c>
      <c r="C1952">
        <v>68000</v>
      </c>
      <c r="D1952">
        <v>105815</v>
      </c>
      <c r="E1952">
        <v>68000</v>
      </c>
      <c r="F1952">
        <v>68000</v>
      </c>
      <c r="G1952" s="1">
        <v>1E-3</v>
      </c>
      <c r="H1952" s="1">
        <v>1E-3</v>
      </c>
      <c r="I1952" s="1">
        <v>1E-3</v>
      </c>
      <c r="J1952" s="1">
        <v>0.59460000000000002</v>
      </c>
    </row>
    <row r="1953" spans="1:10" x14ac:dyDescent="0.2">
      <c r="A1953" t="str">
        <f>"14/10/2018"</f>
        <v>14/10/2018</v>
      </c>
      <c r="B1953">
        <v>1</v>
      </c>
      <c r="C1953">
        <v>67000</v>
      </c>
      <c r="D1953">
        <v>96753</v>
      </c>
      <c r="E1953">
        <v>67000</v>
      </c>
      <c r="F1953">
        <v>67000</v>
      </c>
      <c r="G1953" s="1">
        <v>1E-3</v>
      </c>
      <c r="H1953" s="1">
        <v>1E-3</v>
      </c>
      <c r="I1953" s="1">
        <v>1E-3</v>
      </c>
      <c r="J1953" s="1">
        <v>0.63660000000000005</v>
      </c>
    </row>
    <row r="1954" spans="1:10" x14ac:dyDescent="0.2">
      <c r="A1954" t="str">
        <f>"11/10/2018"</f>
        <v>11/10/2018</v>
      </c>
      <c r="B1954">
        <v>3</v>
      </c>
      <c r="C1954">
        <v>67000</v>
      </c>
      <c r="D1954">
        <v>83023</v>
      </c>
      <c r="E1954">
        <v>67000</v>
      </c>
      <c r="F1954">
        <v>67000</v>
      </c>
      <c r="G1954" s="1">
        <v>1E-3</v>
      </c>
      <c r="H1954" s="1">
        <v>1E-3</v>
      </c>
      <c r="I1954" s="1">
        <v>1E-3</v>
      </c>
      <c r="J1954" s="1">
        <v>0.76859999999999995</v>
      </c>
    </row>
    <row r="1955" spans="1:10" x14ac:dyDescent="0.2">
      <c r="A1955" t="str">
        <f>"10/10/2018"</f>
        <v>10/10/2018</v>
      </c>
      <c r="B1955">
        <v>1</v>
      </c>
      <c r="C1955">
        <v>65000</v>
      </c>
      <c r="D1955">
        <v>40428</v>
      </c>
      <c r="E1955">
        <v>40428</v>
      </c>
      <c r="F1955">
        <v>40428</v>
      </c>
      <c r="G1955" s="1">
        <v>1E-3</v>
      </c>
      <c r="H1955" s="1">
        <v>8.9999999999999998E-4</v>
      </c>
      <c r="I1955" s="1">
        <v>8.9999999999999998E-4</v>
      </c>
      <c r="J1955" s="1">
        <v>1</v>
      </c>
    </row>
    <row r="1956" spans="1:10" x14ac:dyDescent="0.2">
      <c r="A1956" t="str">
        <f>"09/10/2018"</f>
        <v>09/10/2018</v>
      </c>
      <c r="B1956">
        <v>1</v>
      </c>
      <c r="C1956">
        <v>58000</v>
      </c>
      <c r="D1956">
        <v>54963</v>
      </c>
      <c r="E1956">
        <v>54963</v>
      </c>
      <c r="F1956">
        <v>54963</v>
      </c>
      <c r="G1956" s="1">
        <v>1E-3</v>
      </c>
      <c r="H1956" s="1">
        <v>1E-3</v>
      </c>
      <c r="I1956" s="1">
        <v>1E-3</v>
      </c>
      <c r="J1956" s="1">
        <v>1</v>
      </c>
    </row>
    <row r="1957" spans="1:10" x14ac:dyDescent="0.2">
      <c r="A1957" t="str">
        <f>"08/10/2018"</f>
        <v>08/10/2018</v>
      </c>
      <c r="B1957">
        <v>1</v>
      </c>
      <c r="C1957">
        <v>60000</v>
      </c>
      <c r="D1957">
        <v>69333</v>
      </c>
      <c r="E1957">
        <v>60000</v>
      </c>
      <c r="F1957">
        <v>60000</v>
      </c>
      <c r="G1957" s="1">
        <v>1E-3</v>
      </c>
      <c r="H1957" s="1">
        <v>1E-3</v>
      </c>
      <c r="I1957" s="1">
        <v>1E-3</v>
      </c>
      <c r="J1957" s="1">
        <v>0.8246</v>
      </c>
    </row>
    <row r="1958" spans="1:10" x14ac:dyDescent="0.2">
      <c r="A1958" t="str">
        <f>"07/10/2018"</f>
        <v>07/10/2018</v>
      </c>
      <c r="B1958">
        <v>1</v>
      </c>
      <c r="C1958">
        <v>63000</v>
      </c>
      <c r="D1958">
        <v>93993</v>
      </c>
      <c r="E1958">
        <v>63000</v>
      </c>
      <c r="F1958">
        <v>63000</v>
      </c>
      <c r="G1958" s="1">
        <v>1E-3</v>
      </c>
      <c r="H1958" s="1">
        <v>1E-3</v>
      </c>
      <c r="I1958" s="1">
        <v>1E-3</v>
      </c>
      <c r="J1958" s="1">
        <v>0.61550000000000005</v>
      </c>
    </row>
    <row r="1959" spans="1:10" x14ac:dyDescent="0.2">
      <c r="A1959" t="str">
        <f>"04/10/2018"</f>
        <v>04/10/2018</v>
      </c>
      <c r="B1959">
        <v>3</v>
      </c>
      <c r="C1959">
        <v>67000</v>
      </c>
      <c r="D1959">
        <v>118039</v>
      </c>
      <c r="E1959">
        <v>67000</v>
      </c>
      <c r="F1959">
        <v>67000</v>
      </c>
      <c r="G1959" s="1">
        <v>1E-3</v>
      </c>
      <c r="H1959" s="1">
        <v>1E-3</v>
      </c>
      <c r="I1959" s="1">
        <v>1E-3</v>
      </c>
      <c r="J1959" s="1">
        <v>0.5091</v>
      </c>
    </row>
    <row r="1960" spans="1:10" x14ac:dyDescent="0.2">
      <c r="A1960" t="str">
        <f>"03/10/2018"</f>
        <v>03/10/2018</v>
      </c>
      <c r="B1960">
        <v>1</v>
      </c>
      <c r="C1960">
        <v>67000</v>
      </c>
      <c r="D1960">
        <v>123872</v>
      </c>
      <c r="E1960">
        <v>67000</v>
      </c>
      <c r="F1960">
        <v>67000</v>
      </c>
      <c r="G1960" s="1">
        <v>1E-3</v>
      </c>
      <c r="H1960" s="1">
        <v>1E-3</v>
      </c>
      <c r="I1960" s="1">
        <v>1E-3</v>
      </c>
      <c r="J1960" s="1">
        <v>0.45760000000000001</v>
      </c>
    </row>
    <row r="1961" spans="1:10" x14ac:dyDescent="0.2">
      <c r="A1961" t="str">
        <f>"02/10/2018"</f>
        <v>02/10/2018</v>
      </c>
      <c r="B1961">
        <v>1</v>
      </c>
      <c r="C1961">
        <v>70000</v>
      </c>
      <c r="D1961">
        <v>146145</v>
      </c>
      <c r="E1961">
        <v>70000</v>
      </c>
      <c r="F1961">
        <v>70000</v>
      </c>
      <c r="G1961" s="1">
        <v>1E-3</v>
      </c>
      <c r="H1961" s="1">
        <v>1E-3</v>
      </c>
      <c r="I1961" s="1">
        <v>1E-3</v>
      </c>
      <c r="J1961" s="1">
        <v>0.40039999999999998</v>
      </c>
    </row>
    <row r="1962" spans="1:10" x14ac:dyDescent="0.2">
      <c r="A1962" t="str">
        <f>"27/09/2018"</f>
        <v>27/09/2018</v>
      </c>
      <c r="B1962">
        <v>5</v>
      </c>
      <c r="C1962">
        <v>62000</v>
      </c>
      <c r="D1962">
        <v>120898</v>
      </c>
      <c r="E1962">
        <v>62000</v>
      </c>
      <c r="F1962">
        <v>62000</v>
      </c>
      <c r="G1962" s="1">
        <v>1E-3</v>
      </c>
      <c r="H1962" s="1">
        <v>1E-3</v>
      </c>
      <c r="I1962" s="1">
        <v>1E-3</v>
      </c>
      <c r="J1962" s="1">
        <v>0.43419999999999997</v>
      </c>
    </row>
    <row r="1963" spans="1:10" x14ac:dyDescent="0.2">
      <c r="A1963" t="str">
        <f>"26/09/2018"</f>
        <v>26/09/2018</v>
      </c>
      <c r="B1963">
        <v>1</v>
      </c>
      <c r="C1963">
        <v>62000</v>
      </c>
      <c r="D1963">
        <v>113120</v>
      </c>
      <c r="E1963">
        <v>62000</v>
      </c>
      <c r="F1963">
        <v>62000</v>
      </c>
      <c r="G1963" s="1">
        <v>1E-3</v>
      </c>
      <c r="H1963" s="1">
        <v>1E-3</v>
      </c>
      <c r="I1963" s="1">
        <v>1E-3</v>
      </c>
      <c r="J1963" s="1">
        <v>0.47920000000000001</v>
      </c>
    </row>
    <row r="1964" spans="1:10" x14ac:dyDescent="0.2">
      <c r="A1964" t="str">
        <f>"25/09/2018"</f>
        <v>25/09/2018</v>
      </c>
      <c r="B1964">
        <v>1</v>
      </c>
      <c r="C1964">
        <v>64000</v>
      </c>
      <c r="D1964">
        <v>130054</v>
      </c>
      <c r="E1964">
        <v>64000</v>
      </c>
      <c r="F1964">
        <v>64000</v>
      </c>
      <c r="G1964" s="1">
        <v>1E-3</v>
      </c>
      <c r="H1964" s="1">
        <v>1E-3</v>
      </c>
      <c r="I1964" s="1">
        <v>1E-3</v>
      </c>
      <c r="J1964" s="1">
        <v>0.4224</v>
      </c>
    </row>
    <row r="1965" spans="1:10" x14ac:dyDescent="0.2">
      <c r="A1965" t="str">
        <f>"20/09/2018"</f>
        <v>20/09/2018</v>
      </c>
      <c r="B1965">
        <v>5</v>
      </c>
      <c r="C1965">
        <v>66000</v>
      </c>
      <c r="D1965">
        <v>152960</v>
      </c>
      <c r="E1965">
        <v>66000</v>
      </c>
      <c r="F1965">
        <v>66000</v>
      </c>
      <c r="G1965" s="1">
        <v>1E-3</v>
      </c>
      <c r="H1965" s="1">
        <v>1E-3</v>
      </c>
      <c r="I1965" s="1">
        <v>1E-3</v>
      </c>
      <c r="J1965" s="1">
        <v>0.36930000000000002</v>
      </c>
    </row>
    <row r="1966" spans="1:10" x14ac:dyDescent="0.2">
      <c r="A1966" t="str">
        <f>"17/09/2018"</f>
        <v>17/09/2018</v>
      </c>
      <c r="B1966">
        <v>3</v>
      </c>
      <c r="C1966">
        <v>70000</v>
      </c>
      <c r="D1966">
        <v>170485</v>
      </c>
      <c r="E1966">
        <v>70000</v>
      </c>
      <c r="F1966">
        <v>70000</v>
      </c>
      <c r="G1966" s="1">
        <v>1E-3</v>
      </c>
      <c r="H1966" s="1">
        <v>1E-3</v>
      </c>
      <c r="I1966" s="1">
        <v>1E-3</v>
      </c>
      <c r="J1966" s="1">
        <v>0.34670000000000001</v>
      </c>
    </row>
    <row r="1967" spans="1:10" x14ac:dyDescent="0.2">
      <c r="A1967" t="str">
        <f>"16/09/2018"</f>
        <v>16/09/2018</v>
      </c>
      <c r="B1967">
        <v>1</v>
      </c>
      <c r="C1967">
        <v>74000</v>
      </c>
      <c r="D1967">
        <v>191881</v>
      </c>
      <c r="E1967">
        <v>74000</v>
      </c>
      <c r="F1967">
        <v>74000</v>
      </c>
      <c r="G1967" s="1">
        <v>1E-3</v>
      </c>
      <c r="H1967" s="1">
        <v>1E-3</v>
      </c>
      <c r="I1967" s="1">
        <v>1E-3</v>
      </c>
      <c r="J1967" s="1">
        <v>0.34289999999999998</v>
      </c>
    </row>
    <row r="1968" spans="1:10" x14ac:dyDescent="0.2">
      <c r="A1968" t="str">
        <f>"13/09/2018"</f>
        <v>13/09/2018</v>
      </c>
      <c r="B1968">
        <v>3</v>
      </c>
      <c r="C1968">
        <v>75000</v>
      </c>
      <c r="D1968">
        <v>192265</v>
      </c>
      <c r="E1968">
        <v>75000</v>
      </c>
      <c r="F1968">
        <v>75000</v>
      </c>
      <c r="G1968" s="1">
        <v>1E-3</v>
      </c>
      <c r="H1968" s="1">
        <v>1E-3</v>
      </c>
      <c r="I1968" s="1">
        <v>1E-3</v>
      </c>
      <c r="J1968" s="1">
        <v>0.33929999999999999</v>
      </c>
    </row>
    <row r="1969" spans="1:10" x14ac:dyDescent="0.2">
      <c r="A1969" t="str">
        <f>"12/09/2018"</f>
        <v>12/09/2018</v>
      </c>
      <c r="B1969">
        <v>1</v>
      </c>
      <c r="C1969">
        <v>75000</v>
      </c>
      <c r="D1969">
        <v>192190</v>
      </c>
      <c r="E1969">
        <v>75000</v>
      </c>
      <c r="F1969">
        <v>75000</v>
      </c>
      <c r="G1969" s="1">
        <v>1E-3</v>
      </c>
      <c r="H1969" s="1">
        <v>1E-3</v>
      </c>
      <c r="I1969" s="1">
        <v>1E-3</v>
      </c>
      <c r="J1969" s="1">
        <v>0.32279999999999998</v>
      </c>
    </row>
    <row r="1970" spans="1:10" x14ac:dyDescent="0.2">
      <c r="A1970" t="str">
        <f>"06/09/2018"</f>
        <v>06/09/2018</v>
      </c>
      <c r="B1970">
        <v>6</v>
      </c>
      <c r="C1970">
        <v>75000</v>
      </c>
      <c r="D1970">
        <v>180123</v>
      </c>
      <c r="E1970">
        <v>75000</v>
      </c>
      <c r="F1970">
        <v>75000</v>
      </c>
      <c r="G1970" s="1">
        <v>1E-3</v>
      </c>
      <c r="H1970" s="1">
        <v>1E-3</v>
      </c>
      <c r="I1970" s="1">
        <v>1E-3</v>
      </c>
      <c r="J1970" s="1">
        <v>0.36480000000000001</v>
      </c>
    </row>
    <row r="1971" spans="1:10" x14ac:dyDescent="0.2">
      <c r="A1971" t="str">
        <f>"05/09/2018"</f>
        <v>05/09/2018</v>
      </c>
      <c r="B1971">
        <v>1</v>
      </c>
      <c r="C1971">
        <v>75000</v>
      </c>
      <c r="D1971">
        <v>178925</v>
      </c>
      <c r="E1971">
        <v>75000</v>
      </c>
      <c r="F1971">
        <v>75000</v>
      </c>
      <c r="G1971" s="1">
        <v>1E-3</v>
      </c>
      <c r="H1971" s="1">
        <v>1E-3</v>
      </c>
      <c r="I1971" s="1">
        <v>1E-3</v>
      </c>
      <c r="J1971" s="1">
        <v>0.36209999999999998</v>
      </c>
    </row>
    <row r="1972" spans="1:10" x14ac:dyDescent="0.2">
      <c r="A1972" t="str">
        <f>"04/09/2018"</f>
        <v>04/09/2018</v>
      </c>
      <c r="B1972">
        <v>1</v>
      </c>
      <c r="C1972">
        <v>77000</v>
      </c>
      <c r="D1972">
        <v>174746</v>
      </c>
      <c r="E1972">
        <v>77000</v>
      </c>
      <c r="F1972">
        <v>77000</v>
      </c>
      <c r="G1972" s="1">
        <v>1E-3</v>
      </c>
      <c r="H1972" s="1">
        <v>1E-3</v>
      </c>
      <c r="I1972" s="1">
        <v>1E-3</v>
      </c>
      <c r="J1972" s="1">
        <v>0.38140000000000002</v>
      </c>
    </row>
    <row r="1973" spans="1:10" x14ac:dyDescent="0.2">
      <c r="A1973" t="str">
        <f>"03/09/2018"</f>
        <v>03/09/2018</v>
      </c>
      <c r="B1973">
        <v>1</v>
      </c>
      <c r="C1973">
        <v>77000</v>
      </c>
      <c r="D1973">
        <v>155094</v>
      </c>
      <c r="E1973">
        <v>77000</v>
      </c>
      <c r="F1973">
        <v>77000</v>
      </c>
      <c r="G1973" s="1">
        <v>1E-3</v>
      </c>
      <c r="H1973" s="1">
        <v>1E-3</v>
      </c>
      <c r="I1973" s="1">
        <v>1E-3</v>
      </c>
      <c r="J1973" s="1">
        <v>0.42930000000000001</v>
      </c>
    </row>
    <row r="1974" spans="1:10" x14ac:dyDescent="0.2">
      <c r="A1974" t="str">
        <f>"02/09/2018"</f>
        <v>02/09/2018</v>
      </c>
      <c r="B1974">
        <v>1</v>
      </c>
      <c r="C1974">
        <v>72000</v>
      </c>
      <c r="D1974">
        <v>126465</v>
      </c>
      <c r="E1974">
        <v>72000</v>
      </c>
      <c r="F1974">
        <v>72000</v>
      </c>
      <c r="G1974" s="1">
        <v>1E-3</v>
      </c>
      <c r="H1974" s="1">
        <v>1E-3</v>
      </c>
      <c r="I1974" s="1">
        <v>1E-3</v>
      </c>
      <c r="J1974" s="1">
        <v>0.5131</v>
      </c>
    </row>
    <row r="1975" spans="1:10" x14ac:dyDescent="0.2">
      <c r="A1975" t="str">
        <f>"30/08/2018"</f>
        <v>30/08/2018</v>
      </c>
      <c r="B1975">
        <v>3</v>
      </c>
      <c r="C1975">
        <v>67000</v>
      </c>
      <c r="D1975">
        <v>91118</v>
      </c>
      <c r="E1975">
        <v>67000</v>
      </c>
      <c r="F1975">
        <v>67000</v>
      </c>
      <c r="G1975" s="1">
        <v>1E-3</v>
      </c>
      <c r="H1975" s="1">
        <v>1E-3</v>
      </c>
      <c r="I1975" s="1">
        <v>1E-3</v>
      </c>
      <c r="J1975" s="1">
        <v>0.69450000000000001</v>
      </c>
    </row>
    <row r="1976" spans="1:10" x14ac:dyDescent="0.2">
      <c r="A1976" t="str">
        <f>"29/08/2018"</f>
        <v>29/08/2018</v>
      </c>
      <c r="B1976">
        <v>1</v>
      </c>
      <c r="C1976">
        <v>64000</v>
      </c>
      <c r="D1976">
        <v>61320</v>
      </c>
      <c r="E1976">
        <v>61320</v>
      </c>
      <c r="F1976">
        <v>61320</v>
      </c>
      <c r="G1976" s="1">
        <v>1E-3</v>
      </c>
      <c r="H1976" s="1">
        <v>1E-3</v>
      </c>
      <c r="I1976" s="1">
        <v>1E-3</v>
      </c>
      <c r="J1976" s="1">
        <v>1</v>
      </c>
    </row>
    <row r="1977" spans="1:10" x14ac:dyDescent="0.2">
      <c r="A1977" t="str">
        <f>"28/08/2018"</f>
        <v>28/08/2018</v>
      </c>
      <c r="B1977">
        <v>1</v>
      </c>
      <c r="C1977">
        <v>65000</v>
      </c>
      <c r="D1977">
        <v>132434</v>
      </c>
      <c r="E1977">
        <v>65000</v>
      </c>
      <c r="F1977">
        <v>65000</v>
      </c>
      <c r="G1977" s="1">
        <v>1E-3</v>
      </c>
      <c r="H1977" s="1">
        <v>1E-3</v>
      </c>
      <c r="I1977" s="1">
        <v>1E-3</v>
      </c>
      <c r="J1977" s="1">
        <v>0.42070000000000002</v>
      </c>
    </row>
    <row r="1978" spans="1:10" x14ac:dyDescent="0.2">
      <c r="A1978" t="str">
        <f>"27/08/2018"</f>
        <v>27/08/2018</v>
      </c>
      <c r="B1978">
        <v>1</v>
      </c>
      <c r="C1978">
        <v>61000</v>
      </c>
      <c r="D1978">
        <v>131094</v>
      </c>
      <c r="E1978">
        <v>61000</v>
      </c>
      <c r="F1978">
        <v>61000</v>
      </c>
      <c r="G1978" s="1">
        <v>1E-3</v>
      </c>
      <c r="H1978" s="1">
        <v>1E-3</v>
      </c>
      <c r="I1978" s="1">
        <v>1E-3</v>
      </c>
      <c r="J1978" s="1">
        <v>0.40949999999999998</v>
      </c>
    </row>
    <row r="1979" spans="1:10" x14ac:dyDescent="0.2">
      <c r="A1979" t="str">
        <f>"26/08/2018"</f>
        <v>26/08/2018</v>
      </c>
      <c r="B1979">
        <v>1</v>
      </c>
      <c r="C1979">
        <v>61000</v>
      </c>
      <c r="D1979">
        <v>134428</v>
      </c>
      <c r="E1979">
        <v>61000</v>
      </c>
      <c r="F1979">
        <v>61000</v>
      </c>
      <c r="G1979" s="1">
        <v>1E-3</v>
      </c>
      <c r="H1979" s="1">
        <v>1E-3</v>
      </c>
      <c r="I1979" s="1">
        <v>1E-3</v>
      </c>
      <c r="J1979" s="1">
        <v>0.39810000000000001</v>
      </c>
    </row>
    <row r="1980" spans="1:10" x14ac:dyDescent="0.2">
      <c r="A1980" t="str">
        <f>"23/08/2018"</f>
        <v>23/08/2018</v>
      </c>
      <c r="B1980">
        <v>3</v>
      </c>
      <c r="C1980">
        <v>60000</v>
      </c>
      <c r="D1980">
        <v>142887</v>
      </c>
      <c r="E1980">
        <v>60000</v>
      </c>
      <c r="F1980">
        <v>60000</v>
      </c>
      <c r="G1980" s="1">
        <v>1E-3</v>
      </c>
      <c r="H1980" s="1">
        <v>1E-3</v>
      </c>
      <c r="I1980" s="1">
        <v>1E-3</v>
      </c>
      <c r="J1980" s="1">
        <v>0.35449999999999998</v>
      </c>
    </row>
    <row r="1981" spans="1:10" x14ac:dyDescent="0.2">
      <c r="A1981" t="str">
        <f>"22/08/2018"</f>
        <v>22/08/2018</v>
      </c>
      <c r="B1981">
        <v>1</v>
      </c>
      <c r="C1981">
        <v>61000</v>
      </c>
      <c r="D1981">
        <v>164775</v>
      </c>
      <c r="E1981">
        <v>61000</v>
      </c>
      <c r="F1981">
        <v>61000</v>
      </c>
      <c r="G1981" s="1">
        <v>1E-3</v>
      </c>
      <c r="H1981" s="1">
        <v>1E-3</v>
      </c>
      <c r="I1981" s="1">
        <v>1E-3</v>
      </c>
      <c r="J1981" s="1">
        <v>0.31409999999999999</v>
      </c>
    </row>
    <row r="1982" spans="1:10" x14ac:dyDescent="0.2">
      <c r="A1982" t="str">
        <f>"21/08/2018"</f>
        <v>21/08/2018</v>
      </c>
      <c r="B1982">
        <v>1</v>
      </c>
      <c r="C1982">
        <v>62000</v>
      </c>
      <c r="D1982">
        <v>169119</v>
      </c>
      <c r="E1982">
        <v>62000</v>
      </c>
      <c r="F1982">
        <v>62000</v>
      </c>
      <c r="G1982" s="1">
        <v>1E-3</v>
      </c>
      <c r="H1982" s="1">
        <v>1E-3</v>
      </c>
      <c r="I1982" s="1">
        <v>1E-3</v>
      </c>
      <c r="J1982" s="1">
        <v>0.31929999999999997</v>
      </c>
    </row>
    <row r="1983" spans="1:10" x14ac:dyDescent="0.2">
      <c r="A1983" t="str">
        <f>"20/08/2018"</f>
        <v>20/08/2018</v>
      </c>
      <c r="B1983">
        <v>1</v>
      </c>
      <c r="C1983">
        <v>63000</v>
      </c>
      <c r="D1983">
        <v>168866</v>
      </c>
      <c r="E1983">
        <v>63000</v>
      </c>
      <c r="F1983">
        <v>63000</v>
      </c>
      <c r="G1983" s="1">
        <v>1E-3</v>
      </c>
      <c r="H1983" s="1">
        <v>1E-3</v>
      </c>
      <c r="I1983" s="1">
        <v>1E-3</v>
      </c>
      <c r="J1983" s="1">
        <v>0.3211</v>
      </c>
    </row>
    <row r="1984" spans="1:10" x14ac:dyDescent="0.2">
      <c r="A1984" t="str">
        <f>"19/08/2018"</f>
        <v>19/08/2018</v>
      </c>
      <c r="B1984">
        <v>1</v>
      </c>
      <c r="C1984">
        <v>64000</v>
      </c>
      <c r="D1984">
        <v>169315</v>
      </c>
      <c r="E1984">
        <v>64000</v>
      </c>
      <c r="F1984">
        <v>64000</v>
      </c>
      <c r="G1984" s="1">
        <v>1E-3</v>
      </c>
      <c r="H1984" s="1">
        <v>1E-3</v>
      </c>
      <c r="I1984" s="1">
        <v>1E-3</v>
      </c>
      <c r="J1984" s="1">
        <v>0.32979999999999998</v>
      </c>
    </row>
    <row r="1985" spans="1:10" x14ac:dyDescent="0.2">
      <c r="A1985" t="str">
        <f>"16/08/2018"</f>
        <v>16/08/2018</v>
      </c>
      <c r="B1985">
        <v>3</v>
      </c>
      <c r="C1985">
        <v>65000</v>
      </c>
      <c r="D1985">
        <v>161054</v>
      </c>
      <c r="E1985">
        <v>65000</v>
      </c>
      <c r="F1985">
        <v>65000</v>
      </c>
      <c r="G1985" s="1">
        <v>1E-3</v>
      </c>
      <c r="H1985" s="1">
        <v>1E-3</v>
      </c>
      <c r="I1985" s="1">
        <v>1E-3</v>
      </c>
      <c r="J1985" s="1">
        <v>0.34749999999999998</v>
      </c>
    </row>
    <row r="1986" spans="1:10" x14ac:dyDescent="0.2">
      <c r="A1986" t="str">
        <f>"15/08/2018"</f>
        <v>15/08/2018</v>
      </c>
      <c r="B1986">
        <v>1</v>
      </c>
      <c r="C1986">
        <v>74000</v>
      </c>
      <c r="D1986">
        <v>177503</v>
      </c>
      <c r="E1986">
        <v>74000</v>
      </c>
      <c r="F1986">
        <v>74000</v>
      </c>
      <c r="G1986" s="1">
        <v>1E-3</v>
      </c>
      <c r="H1986" s="1">
        <v>1E-3</v>
      </c>
      <c r="I1986" s="1">
        <v>1E-3</v>
      </c>
      <c r="J1986" s="1">
        <v>0.36520000000000002</v>
      </c>
    </row>
    <row r="1987" spans="1:10" x14ac:dyDescent="0.2">
      <c r="A1987" t="str">
        <f>"14/08/2018"</f>
        <v>14/08/2018</v>
      </c>
      <c r="B1987">
        <v>1</v>
      </c>
      <c r="C1987">
        <v>74000</v>
      </c>
      <c r="D1987">
        <v>176981</v>
      </c>
      <c r="E1987">
        <v>74000</v>
      </c>
      <c r="F1987">
        <v>74000</v>
      </c>
      <c r="G1987" s="1">
        <v>1E-3</v>
      </c>
      <c r="H1987" s="1">
        <v>1E-3</v>
      </c>
      <c r="I1987" s="1">
        <v>1E-3</v>
      </c>
      <c r="J1987" s="1">
        <v>0.35870000000000002</v>
      </c>
    </row>
    <row r="1988" spans="1:10" x14ac:dyDescent="0.2">
      <c r="A1988" t="str">
        <f>"13/08/2018"</f>
        <v>13/08/2018</v>
      </c>
      <c r="B1988">
        <v>1</v>
      </c>
      <c r="C1988">
        <v>75000</v>
      </c>
      <c r="D1988">
        <v>175603</v>
      </c>
      <c r="E1988">
        <v>75000</v>
      </c>
      <c r="F1988">
        <v>75000</v>
      </c>
      <c r="G1988" s="1">
        <v>1E-3</v>
      </c>
      <c r="H1988" s="1">
        <v>1E-3</v>
      </c>
      <c r="I1988" s="1">
        <v>1E-3</v>
      </c>
      <c r="J1988" s="1">
        <v>0.36409999999999998</v>
      </c>
    </row>
    <row r="1989" spans="1:10" x14ac:dyDescent="0.2">
      <c r="A1989" t="str">
        <f>"12/08/2018"</f>
        <v>12/08/2018</v>
      </c>
      <c r="B1989">
        <v>1</v>
      </c>
      <c r="C1989">
        <v>75000</v>
      </c>
      <c r="D1989">
        <v>189357</v>
      </c>
      <c r="E1989">
        <v>75000</v>
      </c>
      <c r="F1989">
        <v>75000</v>
      </c>
      <c r="G1989" s="1">
        <v>1E-3</v>
      </c>
      <c r="H1989" s="1">
        <v>1E-3</v>
      </c>
      <c r="I1989" s="1">
        <v>1E-3</v>
      </c>
      <c r="J1989" s="1">
        <v>0.35260000000000002</v>
      </c>
    </row>
    <row r="1990" spans="1:10" x14ac:dyDescent="0.2">
      <c r="A1990" t="str">
        <f>"09/08/2018"</f>
        <v>09/08/2018</v>
      </c>
      <c r="B1990">
        <v>3</v>
      </c>
      <c r="C1990">
        <v>75000</v>
      </c>
      <c r="D1990">
        <v>191551</v>
      </c>
      <c r="E1990">
        <v>75000</v>
      </c>
      <c r="F1990">
        <v>75000</v>
      </c>
      <c r="G1990" s="1">
        <v>1E-3</v>
      </c>
      <c r="H1990" s="1">
        <v>1E-3</v>
      </c>
      <c r="I1990" s="1">
        <v>1E-3</v>
      </c>
      <c r="J1990" s="1">
        <v>0.3322</v>
      </c>
    </row>
    <row r="1991" spans="1:10" x14ac:dyDescent="0.2">
      <c r="A1991" t="str">
        <f>"08/08/2018"</f>
        <v>08/08/2018</v>
      </c>
      <c r="B1991">
        <v>1</v>
      </c>
      <c r="C1991">
        <v>74000</v>
      </c>
      <c r="D1991">
        <v>198794</v>
      </c>
      <c r="E1991">
        <v>74000</v>
      </c>
      <c r="F1991">
        <v>74000</v>
      </c>
      <c r="G1991" s="1">
        <v>1E-3</v>
      </c>
      <c r="H1991" s="1">
        <v>1E-3</v>
      </c>
      <c r="I1991" s="1">
        <v>1E-3</v>
      </c>
      <c r="J1991" s="1">
        <v>0.31990000000000002</v>
      </c>
    </row>
    <row r="1992" spans="1:10" x14ac:dyDescent="0.2">
      <c r="A1992" t="str">
        <f>"07/08/2018"</f>
        <v>07/08/2018</v>
      </c>
      <c r="B1992">
        <v>1</v>
      </c>
      <c r="C1992">
        <v>74000</v>
      </c>
      <c r="D1992">
        <v>202573</v>
      </c>
      <c r="E1992">
        <v>74000</v>
      </c>
      <c r="F1992">
        <v>74000</v>
      </c>
      <c r="G1992" s="1">
        <v>1E-3</v>
      </c>
      <c r="H1992" s="1">
        <v>1E-3</v>
      </c>
      <c r="I1992" s="1">
        <v>1E-3</v>
      </c>
      <c r="J1992" s="1">
        <v>0.30940000000000001</v>
      </c>
    </row>
    <row r="1993" spans="1:10" x14ac:dyDescent="0.2">
      <c r="A1993" t="str">
        <f>"06/08/2018"</f>
        <v>06/08/2018</v>
      </c>
      <c r="B1993">
        <v>1</v>
      </c>
      <c r="C1993">
        <v>76000</v>
      </c>
      <c r="D1993">
        <v>206752</v>
      </c>
      <c r="E1993">
        <v>76000</v>
      </c>
      <c r="F1993">
        <v>76000</v>
      </c>
      <c r="G1993" s="1">
        <v>1E-3</v>
      </c>
      <c r="H1993" s="1">
        <v>1E-3</v>
      </c>
      <c r="I1993" s="1">
        <v>1E-3</v>
      </c>
      <c r="J1993" s="1">
        <v>0.31309999999999999</v>
      </c>
    </row>
    <row r="1994" spans="1:10" x14ac:dyDescent="0.2">
      <c r="A1994" t="str">
        <f>"05/08/2018"</f>
        <v>05/08/2018</v>
      </c>
      <c r="B1994">
        <v>1</v>
      </c>
      <c r="C1994">
        <v>76000</v>
      </c>
      <c r="D1994">
        <v>196369</v>
      </c>
      <c r="E1994">
        <v>76000</v>
      </c>
      <c r="F1994">
        <v>76000</v>
      </c>
      <c r="G1994" s="1">
        <v>1E-3</v>
      </c>
      <c r="H1994" s="1">
        <v>1E-3</v>
      </c>
      <c r="I1994" s="1">
        <v>1E-3</v>
      </c>
      <c r="J1994" s="1">
        <v>0.33539999999999998</v>
      </c>
    </row>
    <row r="1995" spans="1:10" x14ac:dyDescent="0.2">
      <c r="A1995" t="str">
        <f>"02/08/2018"</f>
        <v>02/08/2018</v>
      </c>
      <c r="B1995">
        <v>3</v>
      </c>
      <c r="C1995">
        <v>76000</v>
      </c>
      <c r="D1995">
        <v>183430</v>
      </c>
      <c r="E1995">
        <v>76000</v>
      </c>
      <c r="F1995">
        <v>76000</v>
      </c>
      <c r="G1995" s="1">
        <v>1E-3</v>
      </c>
      <c r="H1995" s="1">
        <v>1E-3</v>
      </c>
      <c r="I1995" s="1">
        <v>1E-3</v>
      </c>
      <c r="J1995" s="1">
        <v>0.36770000000000003</v>
      </c>
    </row>
    <row r="1996" spans="1:10" x14ac:dyDescent="0.2">
      <c r="A1996" t="str">
        <f>"01/08/2018"</f>
        <v>01/08/2018</v>
      </c>
      <c r="B1996">
        <v>1</v>
      </c>
      <c r="C1996">
        <v>75000</v>
      </c>
      <c r="D1996">
        <v>165082</v>
      </c>
      <c r="E1996">
        <v>75000</v>
      </c>
      <c r="F1996">
        <v>75000</v>
      </c>
      <c r="G1996" s="1">
        <v>1E-3</v>
      </c>
      <c r="H1996" s="1">
        <v>1E-3</v>
      </c>
      <c r="I1996" s="1">
        <v>1E-3</v>
      </c>
      <c r="J1996" s="1">
        <v>0.38159999999999999</v>
      </c>
    </row>
    <row r="1997" spans="1:10" x14ac:dyDescent="0.2">
      <c r="A1997" t="str">
        <f>"31/07/2018"</f>
        <v>31/07/2018</v>
      </c>
      <c r="B1997">
        <v>1</v>
      </c>
      <c r="C1997">
        <v>69000</v>
      </c>
      <c r="D1997">
        <v>165623</v>
      </c>
      <c r="E1997">
        <v>69000</v>
      </c>
      <c r="F1997">
        <v>69000</v>
      </c>
      <c r="G1997" s="1">
        <v>1E-3</v>
      </c>
      <c r="H1997" s="1">
        <v>1E-3</v>
      </c>
      <c r="I1997" s="1">
        <v>1E-3</v>
      </c>
      <c r="J1997" s="1">
        <v>0.35699999999999998</v>
      </c>
    </row>
    <row r="1998" spans="1:10" x14ac:dyDescent="0.2">
      <c r="A1998" t="str">
        <f>"30/07/2018"</f>
        <v>30/07/2018</v>
      </c>
      <c r="B1998">
        <v>1</v>
      </c>
      <c r="C1998">
        <v>67000</v>
      </c>
      <c r="D1998">
        <v>159902</v>
      </c>
      <c r="E1998">
        <v>67000</v>
      </c>
      <c r="F1998">
        <v>67000</v>
      </c>
      <c r="G1998" s="1">
        <v>1E-3</v>
      </c>
      <c r="H1998" s="1">
        <v>1E-3</v>
      </c>
      <c r="I1998" s="1">
        <v>1E-3</v>
      </c>
      <c r="J1998" s="1">
        <v>0.35410000000000003</v>
      </c>
    </row>
    <row r="1999" spans="1:10" x14ac:dyDescent="0.2">
      <c r="A1999" t="str">
        <f>"29/07/2018"</f>
        <v>29/07/2018</v>
      </c>
      <c r="B1999">
        <v>1</v>
      </c>
      <c r="C1999">
        <v>67000</v>
      </c>
      <c r="D1999">
        <v>153525</v>
      </c>
      <c r="E1999">
        <v>67000</v>
      </c>
      <c r="F1999">
        <v>67000</v>
      </c>
      <c r="G1999" s="1">
        <v>1E-3</v>
      </c>
      <c r="H1999" s="1">
        <v>1E-3</v>
      </c>
      <c r="I1999" s="1">
        <v>1E-3</v>
      </c>
      <c r="J1999" s="1">
        <v>0.37640000000000001</v>
      </c>
    </row>
    <row r="2000" spans="1:10" x14ac:dyDescent="0.2">
      <c r="A2000" t="str">
        <f>"26/07/2018"</f>
        <v>26/07/2018</v>
      </c>
      <c r="B2000">
        <v>3</v>
      </c>
      <c r="C2000">
        <v>67000</v>
      </c>
      <c r="D2000">
        <v>147840</v>
      </c>
      <c r="E2000">
        <v>67000</v>
      </c>
      <c r="F2000">
        <v>67000</v>
      </c>
      <c r="G2000" s="1">
        <v>1E-3</v>
      </c>
      <c r="H2000" s="1">
        <v>1E-3</v>
      </c>
      <c r="I2000" s="1">
        <v>1E-3</v>
      </c>
      <c r="J2000" s="1">
        <v>0.39269999999999999</v>
      </c>
    </row>
    <row r="2001" spans="1:10" x14ac:dyDescent="0.2">
      <c r="A2001" t="str">
        <f>"25/07/2018"</f>
        <v>25/07/2018</v>
      </c>
      <c r="B2001">
        <v>1</v>
      </c>
      <c r="C2001">
        <v>64000</v>
      </c>
      <c r="D2001">
        <v>145899</v>
      </c>
      <c r="E2001">
        <v>64000</v>
      </c>
      <c r="F2001">
        <v>64000</v>
      </c>
      <c r="G2001" s="1">
        <v>1E-3</v>
      </c>
      <c r="H2001" s="1">
        <v>1E-3</v>
      </c>
      <c r="I2001" s="1">
        <v>1E-3</v>
      </c>
      <c r="J2001" s="1">
        <v>0.37259999999999999</v>
      </c>
    </row>
    <row r="2002" spans="1:10" x14ac:dyDescent="0.2">
      <c r="A2002" t="str">
        <f>"24/07/2018"</f>
        <v>24/07/2018</v>
      </c>
      <c r="B2002">
        <v>1</v>
      </c>
      <c r="C2002">
        <v>63000</v>
      </c>
      <c r="D2002">
        <v>151352</v>
      </c>
      <c r="E2002">
        <v>63000</v>
      </c>
      <c r="F2002">
        <v>63000</v>
      </c>
      <c r="G2002" s="1">
        <v>1E-3</v>
      </c>
      <c r="H2002" s="1">
        <v>1E-3</v>
      </c>
      <c r="I2002" s="1">
        <v>1E-3</v>
      </c>
      <c r="J2002" s="1">
        <v>0.34739999999999999</v>
      </c>
    </row>
    <row r="2003" spans="1:10" x14ac:dyDescent="0.2">
      <c r="A2003" t="str">
        <f>"23/07/2018"</f>
        <v>23/07/2018</v>
      </c>
      <c r="B2003">
        <v>1</v>
      </c>
      <c r="C2003">
        <v>67000</v>
      </c>
      <c r="D2003">
        <v>166934</v>
      </c>
      <c r="E2003">
        <v>67000</v>
      </c>
      <c r="F2003">
        <v>67000</v>
      </c>
      <c r="G2003" s="1">
        <v>1E-3</v>
      </c>
      <c r="H2003" s="1">
        <v>1E-3</v>
      </c>
      <c r="I2003" s="1">
        <v>1E-3</v>
      </c>
      <c r="J2003" s="1">
        <v>0.33939999999999998</v>
      </c>
    </row>
    <row r="2004" spans="1:10" x14ac:dyDescent="0.2">
      <c r="A2004" t="str">
        <f>"19/07/2018"</f>
        <v>19/07/2018</v>
      </c>
      <c r="B2004">
        <v>4</v>
      </c>
      <c r="C2004">
        <v>68000</v>
      </c>
      <c r="D2004">
        <v>181713</v>
      </c>
      <c r="E2004">
        <v>68000</v>
      </c>
      <c r="F2004">
        <v>68000</v>
      </c>
      <c r="G2004" s="1">
        <v>1E-3</v>
      </c>
      <c r="H2004" s="1">
        <v>1E-3</v>
      </c>
      <c r="I2004" s="1">
        <v>1E-3</v>
      </c>
      <c r="J2004" s="1">
        <v>0.31169999999999998</v>
      </c>
    </row>
    <row r="2005" spans="1:10" x14ac:dyDescent="0.2">
      <c r="A2005" t="str">
        <f>"18/07/2018"</f>
        <v>18/07/2018</v>
      </c>
      <c r="B2005">
        <v>1</v>
      </c>
      <c r="C2005">
        <v>70000</v>
      </c>
      <c r="D2005">
        <v>181458</v>
      </c>
      <c r="E2005">
        <v>70000</v>
      </c>
      <c r="F2005">
        <v>70000</v>
      </c>
      <c r="G2005" s="1">
        <v>1E-3</v>
      </c>
      <c r="H2005" s="1">
        <v>1E-3</v>
      </c>
      <c r="I2005" s="1">
        <v>1E-3</v>
      </c>
      <c r="J2005" s="1">
        <v>0.32329999999999998</v>
      </c>
    </row>
    <row r="2006" spans="1:10" x14ac:dyDescent="0.2">
      <c r="A2006" t="str">
        <f>"17/07/2018"</f>
        <v>17/07/2018</v>
      </c>
      <c r="B2006">
        <v>1</v>
      </c>
      <c r="C2006">
        <v>70000</v>
      </c>
      <c r="D2006">
        <v>160328</v>
      </c>
      <c r="E2006">
        <v>70000</v>
      </c>
      <c r="F2006">
        <v>70000</v>
      </c>
      <c r="G2006" s="1">
        <v>1E-3</v>
      </c>
      <c r="H2006" s="1">
        <v>1E-3</v>
      </c>
      <c r="I2006" s="1">
        <v>1E-3</v>
      </c>
      <c r="J2006" s="1">
        <v>0.37640000000000001</v>
      </c>
    </row>
    <row r="2007" spans="1:10" x14ac:dyDescent="0.2">
      <c r="A2007" t="str">
        <f>"16/07/2018"</f>
        <v>16/07/2018</v>
      </c>
      <c r="B2007">
        <v>1</v>
      </c>
      <c r="C2007">
        <v>70000</v>
      </c>
      <c r="D2007">
        <v>139478</v>
      </c>
      <c r="E2007">
        <v>70000</v>
      </c>
      <c r="F2007">
        <v>70000</v>
      </c>
      <c r="G2007" s="1">
        <v>1E-3</v>
      </c>
      <c r="H2007" s="1">
        <v>1E-3</v>
      </c>
      <c r="I2007" s="1">
        <v>1E-3</v>
      </c>
      <c r="J2007" s="1">
        <v>0.44190000000000002</v>
      </c>
    </row>
    <row r="2008" spans="1:10" x14ac:dyDescent="0.2">
      <c r="A2008" t="str">
        <f>"15/07/2018"</f>
        <v>15/07/2018</v>
      </c>
      <c r="B2008">
        <v>1</v>
      </c>
      <c r="C2008">
        <v>81000</v>
      </c>
      <c r="D2008">
        <v>130655</v>
      </c>
      <c r="E2008">
        <v>81000</v>
      </c>
      <c r="F2008">
        <v>81000</v>
      </c>
      <c r="G2008" s="1">
        <v>1E-3</v>
      </c>
      <c r="H2008" s="1">
        <v>1E-3</v>
      </c>
      <c r="I2008" s="1">
        <v>1E-3</v>
      </c>
      <c r="J2008" s="1">
        <v>0.55979999999999996</v>
      </c>
    </row>
    <row r="2009" spans="1:10" x14ac:dyDescent="0.2">
      <c r="A2009" t="str">
        <f>"12/07/2018"</f>
        <v>12/07/2018</v>
      </c>
      <c r="B2009">
        <v>3</v>
      </c>
      <c r="C2009">
        <v>82000</v>
      </c>
      <c r="D2009">
        <v>109050</v>
      </c>
      <c r="E2009">
        <v>82000</v>
      </c>
      <c r="F2009">
        <v>82000</v>
      </c>
      <c r="G2009" s="1">
        <v>1E-3</v>
      </c>
      <c r="H2009" s="1">
        <v>1E-3</v>
      </c>
      <c r="I2009" s="1">
        <v>1E-3</v>
      </c>
      <c r="J2009" s="1">
        <v>0.71030000000000004</v>
      </c>
    </row>
    <row r="2010" spans="1:10" x14ac:dyDescent="0.2">
      <c r="A2010" t="str">
        <f>"11/07/2018"</f>
        <v>11/07/2018</v>
      </c>
      <c r="B2010">
        <v>1</v>
      </c>
      <c r="C2010">
        <v>79000</v>
      </c>
      <c r="D2010">
        <v>72124</v>
      </c>
      <c r="E2010">
        <v>72124</v>
      </c>
      <c r="F2010">
        <v>72124</v>
      </c>
      <c r="G2010" s="1">
        <v>1E-3</v>
      </c>
      <c r="H2010" s="1">
        <v>1E-3</v>
      </c>
      <c r="I2010" s="1">
        <v>1E-3</v>
      </c>
      <c r="J2010" s="1">
        <v>1</v>
      </c>
    </row>
    <row r="2011" spans="1:10" x14ac:dyDescent="0.2">
      <c r="A2011" t="str">
        <f>"10/07/2018"</f>
        <v>10/07/2018</v>
      </c>
      <c r="B2011">
        <v>1</v>
      </c>
      <c r="C2011">
        <v>79000</v>
      </c>
      <c r="D2011">
        <v>157654</v>
      </c>
      <c r="E2011">
        <v>79000</v>
      </c>
      <c r="F2011">
        <v>79000</v>
      </c>
      <c r="G2011" s="1">
        <v>1E-3</v>
      </c>
      <c r="H2011" s="1">
        <v>1E-3</v>
      </c>
      <c r="I2011" s="1">
        <v>1E-3</v>
      </c>
      <c r="J2011" s="1">
        <v>0.44429999999999997</v>
      </c>
    </row>
    <row r="2012" spans="1:10" x14ac:dyDescent="0.2">
      <c r="A2012" t="str">
        <f>"09/07/2018"</f>
        <v>09/07/2018</v>
      </c>
      <c r="B2012">
        <v>1</v>
      </c>
      <c r="C2012">
        <v>80000</v>
      </c>
      <c r="D2012">
        <v>178015</v>
      </c>
      <c r="E2012">
        <v>80000</v>
      </c>
      <c r="F2012">
        <v>80000</v>
      </c>
      <c r="G2012" s="1">
        <v>1E-3</v>
      </c>
      <c r="H2012" s="1">
        <v>1E-3</v>
      </c>
      <c r="I2012" s="1">
        <v>1E-3</v>
      </c>
      <c r="J2012" s="1">
        <v>0.39400000000000002</v>
      </c>
    </row>
    <row r="2013" spans="1:10" x14ac:dyDescent="0.2">
      <c r="A2013" t="str">
        <f>"08/07/2018"</f>
        <v>08/07/2018</v>
      </c>
      <c r="B2013">
        <v>1</v>
      </c>
      <c r="C2013">
        <v>80000</v>
      </c>
      <c r="D2013">
        <v>170249</v>
      </c>
      <c r="E2013">
        <v>80000</v>
      </c>
      <c r="F2013">
        <v>80000</v>
      </c>
      <c r="G2013" s="1">
        <v>1E-3</v>
      </c>
      <c r="H2013" s="1">
        <v>1E-3</v>
      </c>
      <c r="I2013" s="1">
        <v>1E-3</v>
      </c>
      <c r="J2013" s="1">
        <v>0.41810000000000003</v>
      </c>
    </row>
    <row r="2014" spans="1:10" x14ac:dyDescent="0.2">
      <c r="A2014" t="str">
        <f>"05/07/2018"</f>
        <v>05/07/2018</v>
      </c>
      <c r="B2014">
        <v>3</v>
      </c>
      <c r="C2014">
        <v>81000</v>
      </c>
      <c r="D2014">
        <v>183483</v>
      </c>
      <c r="E2014">
        <v>81000</v>
      </c>
      <c r="F2014">
        <v>81000</v>
      </c>
      <c r="G2014" s="1">
        <v>1E-3</v>
      </c>
      <c r="H2014" s="1">
        <v>1E-3</v>
      </c>
      <c r="I2014" s="1">
        <v>1E-3</v>
      </c>
      <c r="J2014" s="1">
        <v>0.38829999999999998</v>
      </c>
    </row>
    <row r="2015" spans="1:10" x14ac:dyDescent="0.2">
      <c r="A2015" t="str">
        <f>"04/07/2018"</f>
        <v>04/07/2018</v>
      </c>
      <c r="B2015">
        <v>1</v>
      </c>
      <c r="C2015">
        <v>81000</v>
      </c>
      <c r="D2015">
        <v>181581</v>
      </c>
      <c r="E2015">
        <v>81000</v>
      </c>
      <c r="F2015">
        <v>81000</v>
      </c>
      <c r="G2015" s="1">
        <v>1E-3</v>
      </c>
      <c r="H2015" s="1">
        <v>1E-3</v>
      </c>
      <c r="I2015" s="1">
        <v>1E-3</v>
      </c>
      <c r="J2015" s="1">
        <v>0.3921</v>
      </c>
    </row>
    <row r="2016" spans="1:10" x14ac:dyDescent="0.2">
      <c r="A2016" t="str">
        <f>"03/07/2018"</f>
        <v>03/07/2018</v>
      </c>
      <c r="B2016">
        <v>1</v>
      </c>
      <c r="C2016">
        <v>82000</v>
      </c>
      <c r="D2016">
        <v>187103</v>
      </c>
      <c r="E2016">
        <v>82000</v>
      </c>
      <c r="F2016">
        <v>82000</v>
      </c>
      <c r="G2016" s="1">
        <v>1E-3</v>
      </c>
      <c r="H2016" s="1">
        <v>1E-3</v>
      </c>
      <c r="I2016" s="1">
        <v>1E-3</v>
      </c>
      <c r="J2016" s="1">
        <v>0.38950000000000001</v>
      </c>
    </row>
    <row r="2017" spans="1:10" x14ac:dyDescent="0.2">
      <c r="A2017" t="str">
        <f>"02/07/2018"</f>
        <v>02/07/2018</v>
      </c>
      <c r="B2017">
        <v>1</v>
      </c>
      <c r="C2017">
        <v>80000</v>
      </c>
      <c r="D2017">
        <v>183763</v>
      </c>
      <c r="E2017">
        <v>80000</v>
      </c>
      <c r="F2017">
        <v>80000</v>
      </c>
      <c r="G2017" s="1">
        <v>1E-3</v>
      </c>
      <c r="H2017" s="1">
        <v>1E-3</v>
      </c>
      <c r="I2017" s="1">
        <v>1E-3</v>
      </c>
      <c r="J2017" s="1">
        <v>0.38479999999999998</v>
      </c>
    </row>
    <row r="2018" spans="1:10" x14ac:dyDescent="0.2">
      <c r="A2018" t="str">
        <f>"01/07/2018"</f>
        <v>01/07/2018</v>
      </c>
      <c r="B2018">
        <v>1</v>
      </c>
      <c r="C2018">
        <v>76000</v>
      </c>
      <c r="D2018">
        <v>176070</v>
      </c>
      <c r="E2018">
        <v>76000</v>
      </c>
      <c r="F2018">
        <v>76000</v>
      </c>
      <c r="G2018" s="1">
        <v>1E-3</v>
      </c>
      <c r="H2018" s="1">
        <v>1E-3</v>
      </c>
      <c r="I2018" s="1">
        <v>1E-3</v>
      </c>
      <c r="J2018" s="1">
        <v>0.37059999999999998</v>
      </c>
    </row>
    <row r="2019" spans="1:10" x14ac:dyDescent="0.2">
      <c r="A2019" t="str">
        <f>"28/06/2018"</f>
        <v>28/06/2018</v>
      </c>
      <c r="B2019">
        <v>3</v>
      </c>
      <c r="C2019">
        <v>66000</v>
      </c>
      <c r="D2019">
        <v>172492</v>
      </c>
      <c r="E2019">
        <v>66000</v>
      </c>
      <c r="F2019">
        <v>66000</v>
      </c>
      <c r="G2019" s="1">
        <v>1E-3</v>
      </c>
      <c r="H2019" s="1">
        <v>1E-3</v>
      </c>
      <c r="I2019" s="1">
        <v>1E-3</v>
      </c>
      <c r="J2019" s="1">
        <v>0.32600000000000001</v>
      </c>
    </row>
    <row r="2020" spans="1:10" x14ac:dyDescent="0.2">
      <c r="A2020" t="str">
        <f>"27/06/2018"</f>
        <v>27/06/2018</v>
      </c>
      <c r="B2020">
        <v>1</v>
      </c>
      <c r="C2020">
        <v>62000</v>
      </c>
      <c r="D2020">
        <v>173016</v>
      </c>
      <c r="E2020">
        <v>62000</v>
      </c>
      <c r="F2020">
        <v>62000</v>
      </c>
      <c r="G2020" s="1">
        <v>1E-3</v>
      </c>
      <c r="H2020" s="1">
        <v>1E-3</v>
      </c>
      <c r="I2020" s="1">
        <v>1E-3</v>
      </c>
      <c r="J2020" s="1">
        <v>0.2974</v>
      </c>
    </row>
    <row r="2021" spans="1:10" x14ac:dyDescent="0.2">
      <c r="A2021" t="str">
        <f>"26/06/2018"</f>
        <v>26/06/2018</v>
      </c>
      <c r="B2021">
        <v>1</v>
      </c>
      <c r="C2021">
        <v>65000</v>
      </c>
      <c r="D2021">
        <v>175904</v>
      </c>
      <c r="E2021">
        <v>65000</v>
      </c>
      <c r="F2021">
        <v>65000</v>
      </c>
      <c r="G2021" s="1">
        <v>1E-3</v>
      </c>
      <c r="H2021" s="1">
        <v>1E-3</v>
      </c>
      <c r="I2021" s="1">
        <v>1E-3</v>
      </c>
      <c r="J2021" s="1">
        <v>0.31330000000000002</v>
      </c>
    </row>
    <row r="2022" spans="1:10" x14ac:dyDescent="0.2">
      <c r="A2022" t="str">
        <f>"25/06/2018"</f>
        <v>25/06/2018</v>
      </c>
      <c r="B2022">
        <v>1</v>
      </c>
      <c r="C2022">
        <v>66000</v>
      </c>
      <c r="D2022">
        <v>176272</v>
      </c>
      <c r="E2022">
        <v>66000</v>
      </c>
      <c r="F2022">
        <v>66000</v>
      </c>
      <c r="G2022" s="1">
        <v>1E-3</v>
      </c>
      <c r="H2022" s="1">
        <v>1E-3</v>
      </c>
      <c r="I2022" s="1">
        <v>1E-3</v>
      </c>
      <c r="J2022" s="1">
        <v>0.31530000000000002</v>
      </c>
    </row>
    <row r="2023" spans="1:10" x14ac:dyDescent="0.2">
      <c r="A2023" t="str">
        <f>"24/06/2018"</f>
        <v>24/06/2018</v>
      </c>
      <c r="B2023">
        <v>1</v>
      </c>
      <c r="C2023">
        <v>68000</v>
      </c>
      <c r="D2023">
        <v>181921</v>
      </c>
      <c r="E2023">
        <v>68000</v>
      </c>
      <c r="F2023">
        <v>68000</v>
      </c>
      <c r="G2023" s="1">
        <v>1E-3</v>
      </c>
      <c r="H2023" s="1">
        <v>1E-3</v>
      </c>
      <c r="I2023" s="1">
        <v>1E-3</v>
      </c>
      <c r="J2023" s="1">
        <v>0.33260000000000001</v>
      </c>
    </row>
    <row r="2024" spans="1:10" x14ac:dyDescent="0.2">
      <c r="A2024" t="str">
        <f>"21/06/2018"</f>
        <v>21/06/2018</v>
      </c>
      <c r="B2024">
        <v>3</v>
      </c>
      <c r="C2024">
        <v>72000</v>
      </c>
      <c r="D2024">
        <v>182925</v>
      </c>
      <c r="E2024">
        <v>72000</v>
      </c>
      <c r="F2024">
        <v>72000</v>
      </c>
      <c r="G2024" s="1">
        <v>1E-3</v>
      </c>
      <c r="H2024" s="1">
        <v>1E-3</v>
      </c>
      <c r="I2024" s="1">
        <v>1E-3</v>
      </c>
      <c r="J2024" s="1">
        <v>0.33889999999999998</v>
      </c>
    </row>
    <row r="2025" spans="1:10" x14ac:dyDescent="0.2">
      <c r="A2025" t="str">
        <f>"20/06/2018"</f>
        <v>20/06/2018</v>
      </c>
      <c r="B2025">
        <v>1</v>
      </c>
      <c r="C2025">
        <v>73000</v>
      </c>
      <c r="D2025">
        <v>187390</v>
      </c>
      <c r="E2025">
        <v>73000</v>
      </c>
      <c r="F2025">
        <v>73000</v>
      </c>
      <c r="G2025" s="1">
        <v>1E-3</v>
      </c>
      <c r="H2025" s="1">
        <v>1E-3</v>
      </c>
      <c r="I2025" s="1">
        <v>1E-3</v>
      </c>
      <c r="J2025" s="1">
        <v>0.3291</v>
      </c>
    </row>
    <row r="2026" spans="1:10" x14ac:dyDescent="0.2">
      <c r="A2026" t="str">
        <f>"19/06/2018"</f>
        <v>19/06/2018</v>
      </c>
      <c r="B2026">
        <v>1</v>
      </c>
      <c r="C2026">
        <v>73000</v>
      </c>
      <c r="D2026">
        <v>203996</v>
      </c>
      <c r="E2026">
        <v>73000</v>
      </c>
      <c r="F2026">
        <v>73000</v>
      </c>
      <c r="G2026" s="1">
        <v>1E-3</v>
      </c>
      <c r="H2026" s="1">
        <v>1E-3</v>
      </c>
      <c r="I2026" s="1">
        <v>1E-3</v>
      </c>
      <c r="J2026" s="1">
        <v>0.30249999999999999</v>
      </c>
    </row>
    <row r="2027" spans="1:10" x14ac:dyDescent="0.2">
      <c r="A2027" t="str">
        <f>"18/06/2018"</f>
        <v>18/06/2018</v>
      </c>
      <c r="B2027">
        <v>1</v>
      </c>
      <c r="C2027">
        <v>74000</v>
      </c>
      <c r="D2027">
        <v>211329</v>
      </c>
      <c r="E2027">
        <v>74000</v>
      </c>
      <c r="F2027">
        <v>74000</v>
      </c>
      <c r="G2027" s="1">
        <v>1E-3</v>
      </c>
      <c r="H2027" s="1">
        <v>1E-3</v>
      </c>
      <c r="I2027" s="1">
        <v>1E-3</v>
      </c>
      <c r="J2027" s="1">
        <v>0.29699999999999999</v>
      </c>
    </row>
    <row r="2028" spans="1:10" x14ac:dyDescent="0.2">
      <c r="A2028" t="str">
        <f>"17/06/2018"</f>
        <v>17/06/2018</v>
      </c>
      <c r="B2028">
        <v>1</v>
      </c>
      <c r="C2028">
        <v>74000</v>
      </c>
      <c r="D2028">
        <v>222802</v>
      </c>
      <c r="E2028">
        <v>74000</v>
      </c>
      <c r="F2028">
        <v>74000</v>
      </c>
      <c r="G2028" s="1">
        <v>1E-3</v>
      </c>
      <c r="H2028" s="1">
        <v>1E-3</v>
      </c>
      <c r="I2028" s="1">
        <v>1E-3</v>
      </c>
      <c r="J2028" s="1">
        <v>0.28339999999999999</v>
      </c>
    </row>
    <row r="2029" spans="1:10" x14ac:dyDescent="0.2">
      <c r="A2029" t="str">
        <f>"14/06/2018"</f>
        <v>14/06/2018</v>
      </c>
      <c r="B2029">
        <v>3</v>
      </c>
      <c r="C2029">
        <v>81000</v>
      </c>
      <c r="D2029">
        <v>243735</v>
      </c>
      <c r="E2029">
        <v>81000</v>
      </c>
      <c r="F2029">
        <v>81000</v>
      </c>
      <c r="G2029" s="1">
        <v>1E-3</v>
      </c>
      <c r="H2029" s="1">
        <v>1E-3</v>
      </c>
      <c r="I2029" s="1">
        <v>1E-3</v>
      </c>
      <c r="J2029" s="1">
        <v>0.28410000000000002</v>
      </c>
    </row>
    <row r="2030" spans="1:10" x14ac:dyDescent="0.2">
      <c r="A2030" t="str">
        <f>"13/06/2018"</f>
        <v>13/06/2018</v>
      </c>
      <c r="B2030">
        <v>1</v>
      </c>
      <c r="C2030">
        <v>83000</v>
      </c>
      <c r="D2030">
        <v>240489</v>
      </c>
      <c r="E2030">
        <v>83000</v>
      </c>
      <c r="F2030">
        <v>83000</v>
      </c>
      <c r="G2030" s="1">
        <v>1E-3</v>
      </c>
      <c r="H2030" s="1">
        <v>1E-3</v>
      </c>
      <c r="I2030" s="1">
        <v>1E-3</v>
      </c>
      <c r="J2030" s="1">
        <v>0.29520000000000002</v>
      </c>
    </row>
    <row r="2031" spans="1:10" x14ac:dyDescent="0.2">
      <c r="A2031" t="str">
        <f>"12/06/2018"</f>
        <v>12/06/2018</v>
      </c>
      <c r="B2031">
        <v>1</v>
      </c>
      <c r="C2031">
        <v>82000</v>
      </c>
      <c r="D2031">
        <v>231464</v>
      </c>
      <c r="E2031">
        <v>82000</v>
      </c>
      <c r="F2031">
        <v>82000</v>
      </c>
      <c r="G2031" s="1">
        <v>1E-3</v>
      </c>
      <c r="H2031" s="1">
        <v>1E-3</v>
      </c>
      <c r="I2031" s="1">
        <v>1E-3</v>
      </c>
      <c r="J2031" s="1">
        <v>0.30159999999999998</v>
      </c>
    </row>
    <row r="2032" spans="1:10" x14ac:dyDescent="0.2">
      <c r="A2032" t="str">
        <f>"11/06/2018"</f>
        <v>11/06/2018</v>
      </c>
      <c r="B2032">
        <v>1</v>
      </c>
      <c r="C2032">
        <v>83000</v>
      </c>
      <c r="D2032">
        <v>224084</v>
      </c>
      <c r="E2032">
        <v>83000</v>
      </c>
      <c r="F2032">
        <v>83000</v>
      </c>
      <c r="G2032" s="1">
        <v>1E-3</v>
      </c>
      <c r="H2032" s="1">
        <v>1E-3</v>
      </c>
      <c r="I2032" s="1">
        <v>1E-3</v>
      </c>
      <c r="J2032" s="1">
        <v>0.318</v>
      </c>
    </row>
    <row r="2033" spans="1:10" x14ac:dyDescent="0.2">
      <c r="A2033" t="str">
        <f>"10/06/2018"</f>
        <v>10/06/2018</v>
      </c>
      <c r="B2033">
        <v>1</v>
      </c>
      <c r="C2033">
        <v>83000</v>
      </c>
      <c r="D2033">
        <v>212060</v>
      </c>
      <c r="E2033">
        <v>83000</v>
      </c>
      <c r="F2033">
        <v>83000</v>
      </c>
      <c r="G2033" s="1">
        <v>1E-3</v>
      </c>
      <c r="H2033" s="1">
        <v>1E-3</v>
      </c>
      <c r="I2033" s="1">
        <v>1E-3</v>
      </c>
      <c r="J2033" s="1">
        <v>0.34410000000000002</v>
      </c>
    </row>
    <row r="2034" spans="1:10" x14ac:dyDescent="0.2">
      <c r="A2034" t="str">
        <f>"07/06/2018"</f>
        <v>07/06/2018</v>
      </c>
      <c r="B2034">
        <v>3</v>
      </c>
      <c r="C2034">
        <v>83000</v>
      </c>
      <c r="D2034">
        <v>206405</v>
      </c>
      <c r="E2034">
        <v>83000</v>
      </c>
      <c r="F2034">
        <v>83000</v>
      </c>
      <c r="G2034" s="1">
        <v>1E-3</v>
      </c>
      <c r="H2034" s="1">
        <v>1E-3</v>
      </c>
      <c r="I2034" s="1">
        <v>1E-3</v>
      </c>
      <c r="J2034" s="1">
        <v>0.34949999999999998</v>
      </c>
    </row>
    <row r="2035" spans="1:10" x14ac:dyDescent="0.2">
      <c r="A2035" t="str">
        <f>"06/06/2018"</f>
        <v>06/06/2018</v>
      </c>
      <c r="B2035">
        <v>1</v>
      </c>
      <c r="C2035">
        <v>83000</v>
      </c>
      <c r="D2035">
        <v>212066</v>
      </c>
      <c r="E2035">
        <v>83000</v>
      </c>
      <c r="F2035">
        <v>83000</v>
      </c>
      <c r="G2035" s="1">
        <v>1E-3</v>
      </c>
      <c r="H2035" s="1">
        <v>1E-3</v>
      </c>
      <c r="I2035" s="1">
        <v>1E-3</v>
      </c>
      <c r="J2035" s="1">
        <v>0.33789999999999998</v>
      </c>
    </row>
    <row r="2036" spans="1:10" x14ac:dyDescent="0.2">
      <c r="A2036" t="str">
        <f>"05/06/2018"</f>
        <v>05/06/2018</v>
      </c>
      <c r="B2036">
        <v>1</v>
      </c>
      <c r="C2036">
        <v>82000</v>
      </c>
      <c r="D2036">
        <v>182519</v>
      </c>
      <c r="E2036">
        <v>82000</v>
      </c>
      <c r="F2036">
        <v>82000</v>
      </c>
      <c r="G2036" s="1">
        <v>1E-3</v>
      </c>
      <c r="H2036" s="1">
        <v>1E-3</v>
      </c>
      <c r="I2036" s="1">
        <v>1E-3</v>
      </c>
      <c r="J2036" s="1">
        <v>0.38729999999999998</v>
      </c>
    </row>
    <row r="2037" spans="1:10" x14ac:dyDescent="0.2">
      <c r="A2037" t="str">
        <f>"04/06/2018"</f>
        <v>04/06/2018</v>
      </c>
      <c r="B2037">
        <v>1</v>
      </c>
      <c r="C2037">
        <v>84000</v>
      </c>
      <c r="D2037">
        <v>162377</v>
      </c>
      <c r="E2037">
        <v>84000</v>
      </c>
      <c r="F2037">
        <v>84000</v>
      </c>
      <c r="G2037" s="1">
        <v>1E-3</v>
      </c>
      <c r="H2037" s="1">
        <v>1E-3</v>
      </c>
      <c r="I2037" s="1">
        <v>1E-3</v>
      </c>
      <c r="J2037" s="1">
        <v>0.45650000000000002</v>
      </c>
    </row>
    <row r="2038" spans="1:10" x14ac:dyDescent="0.2">
      <c r="A2038" t="str">
        <f>"03/06/2018"</f>
        <v>03/06/2018</v>
      </c>
      <c r="B2038">
        <v>1</v>
      </c>
      <c r="C2038">
        <v>80000</v>
      </c>
      <c r="D2038">
        <v>140647</v>
      </c>
      <c r="E2038">
        <v>80000</v>
      </c>
      <c r="F2038">
        <v>80000</v>
      </c>
      <c r="G2038" s="1">
        <v>1E-3</v>
      </c>
      <c r="H2038" s="1">
        <v>1E-3</v>
      </c>
      <c r="I2038" s="1">
        <v>1E-3</v>
      </c>
      <c r="J2038" s="1">
        <v>0.5212</v>
      </c>
    </row>
    <row r="2039" spans="1:10" x14ac:dyDescent="0.2">
      <c r="A2039" t="str">
        <f>"31/05/2018"</f>
        <v>31/05/2018</v>
      </c>
      <c r="B2039">
        <v>3</v>
      </c>
      <c r="C2039">
        <v>75000</v>
      </c>
      <c r="D2039">
        <v>93862</v>
      </c>
      <c r="E2039">
        <v>75000</v>
      </c>
      <c r="F2039">
        <v>75000</v>
      </c>
      <c r="G2039" s="1">
        <v>1E-3</v>
      </c>
      <c r="H2039" s="1">
        <v>1E-3</v>
      </c>
      <c r="I2039" s="1">
        <v>1E-3</v>
      </c>
      <c r="J2039" s="1">
        <v>0.76339999999999997</v>
      </c>
    </row>
    <row r="2040" spans="1:10" x14ac:dyDescent="0.2">
      <c r="A2040" t="str">
        <f>"30/05/2018"</f>
        <v>30/05/2018</v>
      </c>
      <c r="B2040">
        <v>1</v>
      </c>
      <c r="C2040">
        <v>65000</v>
      </c>
      <c r="D2040">
        <v>56763</v>
      </c>
      <c r="E2040">
        <v>56763</v>
      </c>
      <c r="F2040">
        <v>56763</v>
      </c>
      <c r="G2040" s="1">
        <v>1E-3</v>
      </c>
      <c r="H2040" s="1">
        <v>1E-3</v>
      </c>
      <c r="I2040" s="1">
        <v>1E-3</v>
      </c>
      <c r="J2040" s="1">
        <v>1</v>
      </c>
    </row>
    <row r="2041" spans="1:10" x14ac:dyDescent="0.2">
      <c r="A2041" t="str">
        <f>"29/05/2018"</f>
        <v>29/05/2018</v>
      </c>
      <c r="B2041">
        <v>1</v>
      </c>
      <c r="C2041">
        <v>65000</v>
      </c>
      <c r="D2041">
        <v>114874</v>
      </c>
      <c r="E2041">
        <v>65000</v>
      </c>
      <c r="F2041">
        <v>65000</v>
      </c>
      <c r="G2041" s="1">
        <v>1E-3</v>
      </c>
      <c r="H2041" s="1">
        <v>1E-3</v>
      </c>
      <c r="I2041" s="1">
        <v>1E-3</v>
      </c>
      <c r="J2041" s="1">
        <v>0.48149999999999998</v>
      </c>
    </row>
    <row r="2042" spans="1:10" x14ac:dyDescent="0.2">
      <c r="A2042" t="str">
        <f>"28/05/2018"</f>
        <v>28/05/2018</v>
      </c>
      <c r="B2042">
        <v>1</v>
      </c>
      <c r="C2042">
        <v>65000</v>
      </c>
      <c r="D2042">
        <v>146544</v>
      </c>
      <c r="E2042">
        <v>65000</v>
      </c>
      <c r="F2042">
        <v>65000</v>
      </c>
      <c r="G2042" s="1">
        <v>1E-3</v>
      </c>
      <c r="H2042" s="1">
        <v>1E-3</v>
      </c>
      <c r="I2042" s="1">
        <v>1E-3</v>
      </c>
      <c r="J2042" s="1">
        <v>0.38159999999999999</v>
      </c>
    </row>
    <row r="2043" spans="1:10" x14ac:dyDescent="0.2">
      <c r="A2043" t="str">
        <f>"27/05/2018"</f>
        <v>27/05/2018</v>
      </c>
      <c r="B2043">
        <v>1</v>
      </c>
      <c r="C2043">
        <v>62000</v>
      </c>
      <c r="D2043">
        <v>148275</v>
      </c>
      <c r="E2043">
        <v>62000</v>
      </c>
      <c r="F2043">
        <v>62000</v>
      </c>
      <c r="G2043" s="1">
        <v>1E-3</v>
      </c>
      <c r="H2043" s="1">
        <v>1E-3</v>
      </c>
      <c r="I2043" s="1">
        <v>1E-3</v>
      </c>
      <c r="J2043" s="1">
        <v>0.35809999999999997</v>
      </c>
    </row>
    <row r="2044" spans="1:10" x14ac:dyDescent="0.2">
      <c r="A2044" t="str">
        <f>"24/05/2018"</f>
        <v>24/05/2018</v>
      </c>
      <c r="B2044">
        <v>3</v>
      </c>
      <c r="C2044">
        <v>63000</v>
      </c>
      <c r="D2044">
        <v>161041</v>
      </c>
      <c r="E2044">
        <v>63000</v>
      </c>
      <c r="F2044">
        <v>63000</v>
      </c>
      <c r="G2044" s="1">
        <v>1E-3</v>
      </c>
      <c r="H2044" s="1">
        <v>1E-3</v>
      </c>
      <c r="I2044" s="1">
        <v>1E-3</v>
      </c>
      <c r="J2044" s="1">
        <v>0.32950000000000002</v>
      </c>
    </row>
    <row r="2045" spans="1:10" x14ac:dyDescent="0.2">
      <c r="A2045" t="str">
        <f>"23/05/2018"</f>
        <v>23/05/2018</v>
      </c>
      <c r="B2045">
        <v>1</v>
      </c>
      <c r="C2045">
        <v>63000</v>
      </c>
      <c r="D2045">
        <v>168563</v>
      </c>
      <c r="E2045">
        <v>63000</v>
      </c>
      <c r="F2045">
        <v>63000</v>
      </c>
      <c r="G2045" s="1">
        <v>1E-3</v>
      </c>
      <c r="H2045" s="1">
        <v>1E-3</v>
      </c>
      <c r="I2045" s="1">
        <v>1E-3</v>
      </c>
      <c r="J2045" s="1">
        <v>0.311</v>
      </c>
    </row>
    <row r="2046" spans="1:10" x14ac:dyDescent="0.2">
      <c r="A2046" t="str">
        <f>"22/05/2018"</f>
        <v>22/05/2018</v>
      </c>
      <c r="B2046">
        <v>1</v>
      </c>
      <c r="C2046">
        <v>61000</v>
      </c>
      <c r="D2046">
        <v>168937</v>
      </c>
      <c r="E2046">
        <v>61000</v>
      </c>
      <c r="F2046">
        <v>61000</v>
      </c>
      <c r="G2046" s="1">
        <v>1E-3</v>
      </c>
      <c r="H2046" s="1">
        <v>1E-3</v>
      </c>
      <c r="I2046" s="1">
        <v>1E-3</v>
      </c>
      <c r="J2046" s="1">
        <v>0.29459999999999997</v>
      </c>
    </row>
    <row r="2047" spans="1:10" x14ac:dyDescent="0.2">
      <c r="A2047" t="str">
        <f>"21/05/2018"</f>
        <v>21/05/2018</v>
      </c>
      <c r="B2047">
        <v>1</v>
      </c>
      <c r="C2047">
        <v>64000</v>
      </c>
      <c r="D2047">
        <v>169169</v>
      </c>
      <c r="E2047">
        <v>64000</v>
      </c>
      <c r="F2047">
        <v>64000</v>
      </c>
      <c r="G2047" s="1">
        <v>1E-3</v>
      </c>
      <c r="H2047" s="1">
        <v>1E-3</v>
      </c>
      <c r="I2047" s="1">
        <v>1E-3</v>
      </c>
      <c r="J2047" s="1">
        <v>0.31269999999999998</v>
      </c>
    </row>
    <row r="2048" spans="1:10" x14ac:dyDescent="0.2">
      <c r="A2048" t="str">
        <f>"17/05/2018"</f>
        <v>17/05/2018</v>
      </c>
      <c r="B2048">
        <v>4</v>
      </c>
      <c r="C2048">
        <v>66000</v>
      </c>
      <c r="D2048">
        <v>173557</v>
      </c>
      <c r="E2048">
        <v>66000</v>
      </c>
      <c r="F2048">
        <v>66000</v>
      </c>
      <c r="G2048" s="1">
        <v>1E-3</v>
      </c>
      <c r="H2048" s="1">
        <v>1E-3</v>
      </c>
      <c r="I2048" s="1">
        <v>1E-3</v>
      </c>
      <c r="J2048" s="1">
        <v>0.31840000000000002</v>
      </c>
    </row>
    <row r="2049" spans="1:10" x14ac:dyDescent="0.2">
      <c r="A2049" t="str">
        <f>"16/05/2018"</f>
        <v>16/05/2018</v>
      </c>
      <c r="B2049">
        <v>1</v>
      </c>
      <c r="C2049">
        <v>69000</v>
      </c>
      <c r="D2049">
        <v>182000</v>
      </c>
      <c r="E2049">
        <v>69000</v>
      </c>
      <c r="F2049">
        <v>69000</v>
      </c>
      <c r="G2049" s="1">
        <v>1E-3</v>
      </c>
      <c r="H2049" s="1">
        <v>1E-3</v>
      </c>
      <c r="I2049" s="1">
        <v>1E-3</v>
      </c>
      <c r="J2049" s="1">
        <v>0.31830000000000003</v>
      </c>
    </row>
    <row r="2050" spans="1:10" x14ac:dyDescent="0.2">
      <c r="A2050" t="str">
        <f>"15/05/2018"</f>
        <v>15/05/2018</v>
      </c>
      <c r="B2050">
        <v>1</v>
      </c>
      <c r="C2050">
        <v>79000</v>
      </c>
      <c r="D2050">
        <v>203060</v>
      </c>
      <c r="E2050">
        <v>79000</v>
      </c>
      <c r="F2050">
        <v>79000</v>
      </c>
      <c r="G2050" s="1">
        <v>1E-3</v>
      </c>
      <c r="H2050" s="1">
        <v>1E-3</v>
      </c>
      <c r="I2050" s="1">
        <v>1E-3</v>
      </c>
      <c r="J2050" s="1">
        <v>0.3367</v>
      </c>
    </row>
    <row r="2051" spans="1:10" x14ac:dyDescent="0.2">
      <c r="A2051" t="str">
        <f>"14/05/2018"</f>
        <v>14/05/2018</v>
      </c>
      <c r="B2051">
        <v>1</v>
      </c>
      <c r="C2051">
        <v>79000</v>
      </c>
      <c r="D2051">
        <v>205170</v>
      </c>
      <c r="E2051">
        <v>79000</v>
      </c>
      <c r="F2051">
        <v>79000</v>
      </c>
      <c r="G2051" s="1">
        <v>1E-3</v>
      </c>
      <c r="H2051" s="1">
        <v>1E-3</v>
      </c>
      <c r="I2051" s="1">
        <v>1E-3</v>
      </c>
      <c r="J2051" s="1">
        <v>0.32679999999999998</v>
      </c>
    </row>
    <row r="2052" spans="1:10" x14ac:dyDescent="0.2">
      <c r="A2052" t="str">
        <f>"13/05/2018"</f>
        <v>13/05/2018</v>
      </c>
      <c r="B2052">
        <v>1</v>
      </c>
      <c r="C2052">
        <v>79000</v>
      </c>
      <c r="D2052">
        <v>206572</v>
      </c>
      <c r="E2052">
        <v>79000</v>
      </c>
      <c r="F2052">
        <v>79000</v>
      </c>
      <c r="G2052" s="1">
        <v>1E-3</v>
      </c>
      <c r="H2052" s="1">
        <v>1E-3</v>
      </c>
      <c r="I2052" s="1">
        <v>1E-3</v>
      </c>
      <c r="J2052" s="1">
        <v>0.3337</v>
      </c>
    </row>
    <row r="2053" spans="1:10" x14ac:dyDescent="0.2">
      <c r="A2053" t="str">
        <f>"10/05/2018"</f>
        <v>10/05/2018</v>
      </c>
      <c r="B2053">
        <v>3</v>
      </c>
      <c r="C2053">
        <v>79000</v>
      </c>
      <c r="D2053">
        <v>216220</v>
      </c>
      <c r="E2053">
        <v>79000</v>
      </c>
      <c r="F2053">
        <v>79000</v>
      </c>
      <c r="G2053" s="1">
        <v>1E-3</v>
      </c>
      <c r="H2053" s="1">
        <v>1E-3</v>
      </c>
      <c r="I2053" s="1">
        <v>1E-3</v>
      </c>
      <c r="J2053" s="1">
        <v>0.315</v>
      </c>
    </row>
    <row r="2054" spans="1:10" x14ac:dyDescent="0.2">
      <c r="A2054" t="str">
        <f>"09/05/2018"</f>
        <v>09/05/2018</v>
      </c>
      <c r="B2054">
        <v>1</v>
      </c>
      <c r="C2054">
        <v>79000</v>
      </c>
      <c r="D2054">
        <v>209978</v>
      </c>
      <c r="E2054">
        <v>79000</v>
      </c>
      <c r="F2054">
        <v>79000</v>
      </c>
      <c r="G2054" s="1">
        <v>1E-3</v>
      </c>
      <c r="H2054" s="1">
        <v>1E-3</v>
      </c>
      <c r="I2054" s="1">
        <v>1E-3</v>
      </c>
      <c r="J2054" s="1">
        <v>0.3216</v>
      </c>
    </row>
    <row r="2055" spans="1:10" x14ac:dyDescent="0.2">
      <c r="A2055" t="str">
        <f>"08/05/2018"</f>
        <v>08/05/2018</v>
      </c>
      <c r="B2055">
        <v>1</v>
      </c>
      <c r="C2055">
        <v>80000</v>
      </c>
      <c r="D2055">
        <v>214102</v>
      </c>
      <c r="E2055">
        <v>80000</v>
      </c>
      <c r="F2055">
        <v>80000</v>
      </c>
      <c r="G2055" s="1">
        <v>1E-3</v>
      </c>
      <c r="H2055" s="1">
        <v>1E-3</v>
      </c>
      <c r="I2055" s="1">
        <v>1E-3</v>
      </c>
      <c r="J2055" s="1">
        <v>0.31669999999999998</v>
      </c>
    </row>
    <row r="2056" spans="1:10" x14ac:dyDescent="0.2">
      <c r="A2056" t="str">
        <f>"07/05/2018"</f>
        <v>07/05/2018</v>
      </c>
      <c r="B2056">
        <v>1</v>
      </c>
      <c r="C2056">
        <v>80000</v>
      </c>
      <c r="D2056">
        <v>215588</v>
      </c>
      <c r="E2056">
        <v>80000</v>
      </c>
      <c r="F2056">
        <v>80000</v>
      </c>
      <c r="G2056" s="1">
        <v>1E-3</v>
      </c>
      <c r="H2056" s="1">
        <v>1E-3</v>
      </c>
      <c r="I2056" s="1">
        <v>1E-3</v>
      </c>
      <c r="J2056" s="1">
        <v>0.30280000000000001</v>
      </c>
    </row>
    <row r="2057" spans="1:10" x14ac:dyDescent="0.2">
      <c r="A2057" t="str">
        <f>"06/05/2018"</f>
        <v>06/05/2018</v>
      </c>
      <c r="B2057">
        <v>1</v>
      </c>
      <c r="C2057">
        <v>80000</v>
      </c>
      <c r="D2057">
        <v>211743</v>
      </c>
      <c r="E2057">
        <v>80000</v>
      </c>
      <c r="F2057">
        <v>80000</v>
      </c>
      <c r="G2057" s="1">
        <v>1E-3</v>
      </c>
      <c r="H2057" s="1">
        <v>1E-3</v>
      </c>
      <c r="I2057" s="1">
        <v>1E-3</v>
      </c>
      <c r="J2057" s="1">
        <v>0.32019999999999998</v>
      </c>
    </row>
    <row r="2058" spans="1:10" x14ac:dyDescent="0.2">
      <c r="A2058" t="str">
        <f>"03/05/2018"</f>
        <v>03/05/2018</v>
      </c>
      <c r="B2058">
        <v>3</v>
      </c>
      <c r="C2058">
        <v>80000</v>
      </c>
      <c r="D2058">
        <v>210982</v>
      </c>
      <c r="E2058">
        <v>80000</v>
      </c>
      <c r="F2058">
        <v>80000</v>
      </c>
      <c r="G2058" s="1">
        <v>1E-3</v>
      </c>
      <c r="H2058" s="1">
        <v>1E-3</v>
      </c>
      <c r="I2058" s="1">
        <v>1E-3</v>
      </c>
      <c r="J2058" s="1">
        <v>0.3231</v>
      </c>
    </row>
    <row r="2059" spans="1:10" x14ac:dyDescent="0.2">
      <c r="A2059" t="str">
        <f>"02/05/2018"</f>
        <v>02/05/2018</v>
      </c>
      <c r="B2059">
        <v>1</v>
      </c>
      <c r="C2059">
        <v>80000</v>
      </c>
      <c r="D2059">
        <v>206118</v>
      </c>
      <c r="E2059">
        <v>80000</v>
      </c>
      <c r="F2059">
        <v>80000</v>
      </c>
      <c r="G2059" s="1">
        <v>1E-3</v>
      </c>
      <c r="H2059" s="1">
        <v>1E-3</v>
      </c>
      <c r="I2059" s="1">
        <v>1E-3</v>
      </c>
      <c r="J2059" s="1">
        <v>0.32269999999999999</v>
      </c>
    </row>
    <row r="2060" spans="1:10" x14ac:dyDescent="0.2">
      <c r="A2060" t="str">
        <f>"01/05/2018"</f>
        <v>01/05/2018</v>
      </c>
      <c r="B2060">
        <v>1</v>
      </c>
      <c r="C2060">
        <v>81000</v>
      </c>
      <c r="D2060">
        <v>199640</v>
      </c>
      <c r="E2060">
        <v>81000</v>
      </c>
      <c r="F2060">
        <v>81000</v>
      </c>
      <c r="G2060" s="1">
        <v>1E-3</v>
      </c>
      <c r="H2060" s="1">
        <v>1E-3</v>
      </c>
      <c r="I2060" s="1">
        <v>1E-3</v>
      </c>
      <c r="J2060" s="1">
        <v>0.33760000000000001</v>
      </c>
    </row>
    <row r="2061" spans="1:10" x14ac:dyDescent="0.2">
      <c r="A2061" t="str">
        <f>"30/04/2018"</f>
        <v>30/04/2018</v>
      </c>
      <c r="B2061">
        <v>1</v>
      </c>
      <c r="C2061">
        <v>76000</v>
      </c>
      <c r="D2061">
        <v>181460</v>
      </c>
      <c r="E2061">
        <v>76000</v>
      </c>
      <c r="F2061">
        <v>76000</v>
      </c>
      <c r="G2061" s="1">
        <v>1E-3</v>
      </c>
      <c r="H2061" s="1">
        <v>1E-3</v>
      </c>
      <c r="I2061" s="1">
        <v>1E-3</v>
      </c>
      <c r="J2061" s="1">
        <v>0.3538</v>
      </c>
    </row>
    <row r="2062" spans="1:10" x14ac:dyDescent="0.2">
      <c r="A2062" t="str">
        <f>"29/04/2018"</f>
        <v>29/04/2018</v>
      </c>
      <c r="B2062">
        <v>1</v>
      </c>
      <c r="C2062">
        <v>64000</v>
      </c>
      <c r="D2062">
        <v>149230</v>
      </c>
      <c r="E2062">
        <v>64000</v>
      </c>
      <c r="F2062">
        <v>64000</v>
      </c>
      <c r="G2062" s="1">
        <v>1E-3</v>
      </c>
      <c r="H2062" s="1">
        <v>1E-3</v>
      </c>
      <c r="I2062" s="1">
        <v>1E-3</v>
      </c>
      <c r="J2062" s="1">
        <v>0.3639</v>
      </c>
    </row>
    <row r="2063" spans="1:10" x14ac:dyDescent="0.2">
      <c r="A2063" t="str">
        <f>"26/04/2018"</f>
        <v>26/04/2018</v>
      </c>
      <c r="B2063">
        <v>3</v>
      </c>
      <c r="C2063">
        <v>65000</v>
      </c>
      <c r="D2063">
        <v>149956</v>
      </c>
      <c r="E2063">
        <v>65000</v>
      </c>
      <c r="F2063">
        <v>65000</v>
      </c>
      <c r="G2063" s="1">
        <v>1E-3</v>
      </c>
      <c r="H2063" s="1">
        <v>1E-3</v>
      </c>
      <c r="I2063" s="1">
        <v>1E-3</v>
      </c>
      <c r="J2063" s="1">
        <v>0.36580000000000001</v>
      </c>
    </row>
    <row r="2064" spans="1:10" x14ac:dyDescent="0.2">
      <c r="A2064" t="str">
        <f>"25/04/2018"</f>
        <v>25/04/2018</v>
      </c>
      <c r="B2064">
        <v>1</v>
      </c>
      <c r="C2064">
        <v>65000</v>
      </c>
      <c r="D2064">
        <v>145729</v>
      </c>
      <c r="E2064">
        <v>65000</v>
      </c>
      <c r="F2064">
        <v>65000</v>
      </c>
      <c r="G2064" s="1">
        <v>1E-3</v>
      </c>
      <c r="H2064" s="1">
        <v>1E-3</v>
      </c>
      <c r="I2064" s="1">
        <v>1E-3</v>
      </c>
      <c r="J2064" s="1">
        <v>0.37419999999999998</v>
      </c>
    </row>
    <row r="2065" spans="1:10" x14ac:dyDescent="0.2">
      <c r="A2065" t="str">
        <f>"24/04/2018"</f>
        <v>24/04/2018</v>
      </c>
      <c r="B2065">
        <v>1</v>
      </c>
      <c r="C2065">
        <v>68000</v>
      </c>
      <c r="D2065">
        <v>143942</v>
      </c>
      <c r="E2065">
        <v>68000</v>
      </c>
      <c r="F2065">
        <v>68000</v>
      </c>
      <c r="G2065" s="1">
        <v>1E-3</v>
      </c>
      <c r="H2065" s="1">
        <v>1E-3</v>
      </c>
      <c r="I2065" s="1">
        <v>1E-3</v>
      </c>
      <c r="J2065" s="1">
        <v>0.40939999999999999</v>
      </c>
    </row>
    <row r="2066" spans="1:10" x14ac:dyDescent="0.2">
      <c r="A2066" t="str">
        <f>"23/04/2018"</f>
        <v>23/04/2018</v>
      </c>
      <c r="B2066">
        <v>1</v>
      </c>
      <c r="C2066">
        <v>69000</v>
      </c>
      <c r="D2066">
        <v>141379</v>
      </c>
      <c r="E2066">
        <v>69000</v>
      </c>
      <c r="F2066">
        <v>69000</v>
      </c>
      <c r="G2066" s="1">
        <v>1E-3</v>
      </c>
      <c r="H2066" s="1">
        <v>1E-3</v>
      </c>
      <c r="I2066" s="1">
        <v>1E-3</v>
      </c>
      <c r="J2066" s="1">
        <v>0.42209999999999998</v>
      </c>
    </row>
    <row r="2067" spans="1:10" x14ac:dyDescent="0.2">
      <c r="A2067" t="str">
        <f>"22/04/2018"</f>
        <v>22/04/2018</v>
      </c>
      <c r="B2067">
        <v>1</v>
      </c>
      <c r="C2067">
        <v>70000</v>
      </c>
      <c r="D2067">
        <v>135041</v>
      </c>
      <c r="E2067">
        <v>70000</v>
      </c>
      <c r="F2067">
        <v>70000</v>
      </c>
      <c r="G2067" s="1">
        <v>1E-3</v>
      </c>
      <c r="H2067" s="1">
        <v>1E-3</v>
      </c>
      <c r="I2067" s="1">
        <v>1E-3</v>
      </c>
      <c r="J2067" s="1">
        <v>0.4476</v>
      </c>
    </row>
    <row r="2068" spans="1:10" x14ac:dyDescent="0.2">
      <c r="A2068" t="str">
        <f>"17/04/2018"</f>
        <v>17/04/2018</v>
      </c>
      <c r="B2068">
        <v>5</v>
      </c>
      <c r="C2068">
        <v>68000</v>
      </c>
      <c r="D2068">
        <v>124370</v>
      </c>
      <c r="E2068">
        <v>68000</v>
      </c>
      <c r="F2068">
        <v>68000</v>
      </c>
      <c r="G2068" s="1">
        <v>1E-3</v>
      </c>
      <c r="H2068" s="1">
        <v>1E-3</v>
      </c>
      <c r="I2068" s="1">
        <v>1E-3</v>
      </c>
      <c r="J2068" s="1">
        <v>0.48149999999999998</v>
      </c>
    </row>
    <row r="2069" spans="1:10" x14ac:dyDescent="0.2">
      <c r="A2069" t="str">
        <f>"16/04/2018"</f>
        <v>16/04/2018</v>
      </c>
      <c r="B2069">
        <v>1</v>
      </c>
      <c r="C2069">
        <v>71000</v>
      </c>
      <c r="D2069">
        <v>120729</v>
      </c>
      <c r="E2069">
        <v>71000</v>
      </c>
      <c r="F2069">
        <v>71000</v>
      </c>
      <c r="G2069" s="1">
        <v>1E-3</v>
      </c>
      <c r="H2069" s="1">
        <v>1E-3</v>
      </c>
      <c r="I2069" s="1">
        <v>1E-3</v>
      </c>
      <c r="J2069" s="1">
        <v>0.52490000000000003</v>
      </c>
    </row>
    <row r="2070" spans="1:10" x14ac:dyDescent="0.2">
      <c r="A2070" t="str">
        <f>"15/04/2018"</f>
        <v>15/04/2018</v>
      </c>
      <c r="B2070">
        <v>1</v>
      </c>
      <c r="C2070">
        <v>80000</v>
      </c>
      <c r="D2070">
        <v>120245</v>
      </c>
      <c r="E2070">
        <v>80000</v>
      </c>
      <c r="F2070">
        <v>80000</v>
      </c>
      <c r="G2070" s="1">
        <v>1E-3</v>
      </c>
      <c r="H2070" s="1">
        <v>1E-3</v>
      </c>
      <c r="I2070" s="1">
        <v>1E-3</v>
      </c>
      <c r="J2070" s="1">
        <v>0.62150000000000005</v>
      </c>
    </row>
    <row r="2071" spans="1:10" x14ac:dyDescent="0.2">
      <c r="A2071" t="str">
        <f>"12/04/2018"</f>
        <v>12/04/2018</v>
      </c>
      <c r="B2071">
        <v>3</v>
      </c>
      <c r="C2071">
        <v>80000</v>
      </c>
      <c r="D2071">
        <v>106551</v>
      </c>
      <c r="E2071">
        <v>80000</v>
      </c>
      <c r="F2071">
        <v>80000</v>
      </c>
      <c r="G2071" s="1">
        <v>1E-3</v>
      </c>
      <c r="H2071" s="1">
        <v>1E-3</v>
      </c>
      <c r="I2071" s="1">
        <v>1E-3</v>
      </c>
      <c r="J2071" s="1">
        <v>0.70340000000000003</v>
      </c>
    </row>
    <row r="2072" spans="1:10" x14ac:dyDescent="0.2">
      <c r="A2072" t="str">
        <f>"11/04/2018"</f>
        <v>11/04/2018</v>
      </c>
      <c r="B2072">
        <v>1</v>
      </c>
      <c r="C2072">
        <v>82000</v>
      </c>
      <c r="D2072">
        <v>71419</v>
      </c>
      <c r="E2072">
        <v>71419</v>
      </c>
      <c r="F2072">
        <v>71419</v>
      </c>
      <c r="G2072" s="1">
        <v>1E-3</v>
      </c>
      <c r="H2072" s="1">
        <v>1E-3</v>
      </c>
      <c r="I2072" s="1">
        <v>1E-3</v>
      </c>
      <c r="J2072" s="1">
        <v>1</v>
      </c>
    </row>
    <row r="2073" spans="1:10" x14ac:dyDescent="0.2">
      <c r="A2073" t="str">
        <f>"10/04/2018"</f>
        <v>10/04/2018</v>
      </c>
      <c r="B2073">
        <v>1</v>
      </c>
      <c r="C2073">
        <v>78000</v>
      </c>
      <c r="D2073">
        <v>123307</v>
      </c>
      <c r="E2073">
        <v>78000</v>
      </c>
      <c r="F2073">
        <v>78000</v>
      </c>
      <c r="G2073" s="1">
        <v>1E-3</v>
      </c>
      <c r="H2073" s="1">
        <v>1E-3</v>
      </c>
      <c r="I2073" s="1">
        <v>1E-3</v>
      </c>
      <c r="J2073" s="1">
        <v>0.54500000000000004</v>
      </c>
    </row>
    <row r="2074" spans="1:10" x14ac:dyDescent="0.2">
      <c r="A2074" t="str">
        <f>"09/04/2018"</f>
        <v>09/04/2018</v>
      </c>
      <c r="B2074">
        <v>1</v>
      </c>
      <c r="C2074">
        <v>79000</v>
      </c>
      <c r="D2074">
        <v>113423</v>
      </c>
      <c r="E2074">
        <v>79000</v>
      </c>
      <c r="F2074">
        <v>79000</v>
      </c>
      <c r="G2074" s="1">
        <v>1E-3</v>
      </c>
      <c r="H2074" s="1">
        <v>1E-3</v>
      </c>
      <c r="I2074" s="1">
        <v>1E-3</v>
      </c>
      <c r="J2074" s="1">
        <v>0.63390000000000002</v>
      </c>
    </row>
    <row r="2075" spans="1:10" x14ac:dyDescent="0.2">
      <c r="A2075" t="str">
        <f>"08/04/2018"</f>
        <v>08/04/2018</v>
      </c>
      <c r="B2075">
        <v>1</v>
      </c>
      <c r="C2075">
        <v>79000</v>
      </c>
      <c r="D2075">
        <v>113627</v>
      </c>
      <c r="E2075">
        <v>79000</v>
      </c>
      <c r="F2075">
        <v>79000</v>
      </c>
      <c r="G2075" s="1">
        <v>1E-3</v>
      </c>
      <c r="H2075" s="1">
        <v>1E-3</v>
      </c>
      <c r="I2075" s="1">
        <v>1E-3</v>
      </c>
      <c r="J2075" s="1">
        <v>0.64239999999999997</v>
      </c>
    </row>
    <row r="2076" spans="1:10" x14ac:dyDescent="0.2">
      <c r="A2076" t="str">
        <f>"04/04/2018"</f>
        <v>04/04/2018</v>
      </c>
      <c r="B2076">
        <v>4</v>
      </c>
      <c r="C2076">
        <v>80000</v>
      </c>
      <c r="D2076">
        <v>115635</v>
      </c>
      <c r="E2076">
        <v>80000</v>
      </c>
      <c r="F2076">
        <v>80000</v>
      </c>
      <c r="G2076" s="1">
        <v>1E-3</v>
      </c>
      <c r="H2076" s="1">
        <v>1E-3</v>
      </c>
      <c r="I2076" s="1">
        <v>1E-3</v>
      </c>
      <c r="J2076" s="1">
        <v>0.63239999999999996</v>
      </c>
    </row>
    <row r="2077" spans="1:10" x14ac:dyDescent="0.2">
      <c r="A2077" t="str">
        <f>"03/04/2018"</f>
        <v>03/04/2018</v>
      </c>
      <c r="B2077">
        <v>1</v>
      </c>
      <c r="C2077">
        <v>80000</v>
      </c>
      <c r="D2077">
        <v>115289</v>
      </c>
      <c r="E2077">
        <v>80000</v>
      </c>
      <c r="F2077">
        <v>80000</v>
      </c>
      <c r="G2077" s="1">
        <v>1E-3</v>
      </c>
      <c r="H2077" s="1">
        <v>1E-3</v>
      </c>
      <c r="I2077" s="1">
        <v>1E-3</v>
      </c>
      <c r="J2077" s="1">
        <v>0.64770000000000005</v>
      </c>
    </row>
    <row r="2078" spans="1:10" x14ac:dyDescent="0.2">
      <c r="A2078" t="str">
        <f>"02/04/2018"</f>
        <v>02/04/2018</v>
      </c>
      <c r="B2078">
        <v>1</v>
      </c>
      <c r="C2078">
        <v>80000</v>
      </c>
      <c r="D2078">
        <v>109540</v>
      </c>
      <c r="E2078">
        <v>80000</v>
      </c>
      <c r="F2078">
        <v>80000</v>
      </c>
      <c r="G2078" s="1">
        <v>1E-3</v>
      </c>
      <c r="H2078" s="1">
        <v>1E-3</v>
      </c>
      <c r="I2078" s="1">
        <v>1E-3</v>
      </c>
      <c r="J2078" s="1">
        <v>0.69199999999999995</v>
      </c>
    </row>
    <row r="2079" spans="1:10" x14ac:dyDescent="0.2">
      <c r="A2079" t="str">
        <f>"01/04/2018"</f>
        <v>01/04/2018</v>
      </c>
      <c r="B2079">
        <v>1</v>
      </c>
      <c r="C2079">
        <v>77000</v>
      </c>
      <c r="D2079">
        <v>96518</v>
      </c>
      <c r="E2079">
        <v>77000</v>
      </c>
      <c r="F2079">
        <v>77000</v>
      </c>
      <c r="G2079" s="1">
        <v>1E-3</v>
      </c>
      <c r="H2079" s="1">
        <v>1E-3</v>
      </c>
      <c r="I2079" s="1">
        <v>1E-3</v>
      </c>
      <c r="J2079" s="1">
        <v>0.75970000000000004</v>
      </c>
    </row>
    <row r="2080" spans="1:10" x14ac:dyDescent="0.2">
      <c r="A2080" t="str">
        <f>"29/03/2018"</f>
        <v>29/03/2018</v>
      </c>
      <c r="B2080">
        <v>3</v>
      </c>
      <c r="C2080">
        <v>70000</v>
      </c>
      <c r="D2080">
        <v>83295</v>
      </c>
      <c r="E2080">
        <v>70000</v>
      </c>
      <c r="F2080">
        <v>70000</v>
      </c>
      <c r="G2080" s="1">
        <v>1E-3</v>
      </c>
      <c r="H2080" s="1">
        <v>1E-3</v>
      </c>
      <c r="I2080" s="1">
        <v>1E-3</v>
      </c>
      <c r="J2080" s="1">
        <v>0.79720000000000002</v>
      </c>
    </row>
    <row r="2081" spans="1:10" x14ac:dyDescent="0.2">
      <c r="A2081" t="str">
        <f>"28/03/2018"</f>
        <v>28/03/2018</v>
      </c>
      <c r="B2081">
        <v>1</v>
      </c>
      <c r="C2081">
        <v>70000</v>
      </c>
      <c r="D2081">
        <v>82871</v>
      </c>
      <c r="E2081">
        <v>70000</v>
      </c>
      <c r="F2081">
        <v>70000</v>
      </c>
      <c r="G2081" s="1">
        <v>1E-3</v>
      </c>
      <c r="H2081" s="1">
        <v>1E-3</v>
      </c>
      <c r="I2081" s="1">
        <v>1E-3</v>
      </c>
      <c r="J2081" s="1">
        <v>0.80840000000000001</v>
      </c>
    </row>
    <row r="2082" spans="1:10" x14ac:dyDescent="0.2">
      <c r="A2082" t="str">
        <f>"27/03/2018"</f>
        <v>27/03/2018</v>
      </c>
      <c r="B2082">
        <v>1</v>
      </c>
      <c r="C2082">
        <v>70000</v>
      </c>
      <c r="D2082">
        <v>94232</v>
      </c>
      <c r="E2082">
        <v>70000</v>
      </c>
      <c r="F2082">
        <v>70000</v>
      </c>
      <c r="G2082" s="1">
        <v>1E-3</v>
      </c>
      <c r="H2082" s="1">
        <v>1E-3</v>
      </c>
      <c r="I2082" s="1">
        <v>1E-3</v>
      </c>
      <c r="J2082" s="1">
        <v>0.68510000000000004</v>
      </c>
    </row>
    <row r="2083" spans="1:10" x14ac:dyDescent="0.2">
      <c r="A2083" t="str">
        <f>"26/03/2018"</f>
        <v>26/03/2018</v>
      </c>
      <c r="B2083">
        <v>1</v>
      </c>
      <c r="C2083">
        <v>73000</v>
      </c>
      <c r="D2083">
        <v>107433</v>
      </c>
      <c r="E2083">
        <v>73000</v>
      </c>
      <c r="F2083">
        <v>73000</v>
      </c>
      <c r="G2083" s="1">
        <v>1E-3</v>
      </c>
      <c r="H2083" s="1">
        <v>1E-3</v>
      </c>
      <c r="I2083" s="1">
        <v>1E-3</v>
      </c>
      <c r="J2083" s="1">
        <v>0.61680000000000001</v>
      </c>
    </row>
    <row r="2084" spans="1:10" x14ac:dyDescent="0.2">
      <c r="A2084" t="str">
        <f>"25/03/2018"</f>
        <v>25/03/2018</v>
      </c>
      <c r="B2084">
        <v>1</v>
      </c>
      <c r="C2084">
        <v>74000</v>
      </c>
      <c r="D2084">
        <v>116400</v>
      </c>
      <c r="E2084">
        <v>74000</v>
      </c>
      <c r="F2084">
        <v>74000</v>
      </c>
      <c r="G2084" s="1">
        <v>1E-3</v>
      </c>
      <c r="H2084" s="1">
        <v>1E-3</v>
      </c>
      <c r="I2084" s="1">
        <v>1E-3</v>
      </c>
      <c r="J2084" s="1">
        <v>0.57169999999999999</v>
      </c>
    </row>
    <row r="2085" spans="1:10" x14ac:dyDescent="0.2">
      <c r="A2085" t="str">
        <f>"22/03/2018"</f>
        <v>22/03/2018</v>
      </c>
      <c r="B2085">
        <v>3</v>
      </c>
      <c r="C2085">
        <v>69000</v>
      </c>
      <c r="D2085">
        <v>124623</v>
      </c>
      <c r="E2085">
        <v>69000</v>
      </c>
      <c r="F2085">
        <v>69000</v>
      </c>
      <c r="G2085" s="1">
        <v>1E-3</v>
      </c>
      <c r="H2085" s="1">
        <v>1E-3</v>
      </c>
      <c r="I2085" s="1">
        <v>1E-3</v>
      </c>
      <c r="J2085" s="1">
        <v>0.48070000000000002</v>
      </c>
    </row>
    <row r="2086" spans="1:10" x14ac:dyDescent="0.2">
      <c r="A2086" t="str">
        <f>"21/03/2018"</f>
        <v>21/03/2018</v>
      </c>
      <c r="B2086">
        <v>1</v>
      </c>
      <c r="C2086">
        <v>71000</v>
      </c>
      <c r="D2086">
        <v>123254</v>
      </c>
      <c r="E2086">
        <v>71000</v>
      </c>
      <c r="F2086">
        <v>71000</v>
      </c>
      <c r="G2086" s="1">
        <v>1E-3</v>
      </c>
      <c r="H2086" s="1">
        <v>1E-3</v>
      </c>
      <c r="I2086" s="1">
        <v>1E-3</v>
      </c>
      <c r="J2086" s="1">
        <v>0.51070000000000004</v>
      </c>
    </row>
    <row r="2087" spans="1:10" x14ac:dyDescent="0.2">
      <c r="A2087" t="str">
        <f>"20/03/2018"</f>
        <v>20/03/2018</v>
      </c>
      <c r="B2087">
        <v>1</v>
      </c>
      <c r="C2087">
        <v>72000</v>
      </c>
      <c r="D2087">
        <v>131039</v>
      </c>
      <c r="E2087">
        <v>72000</v>
      </c>
      <c r="F2087">
        <v>72000</v>
      </c>
      <c r="G2087" s="1">
        <v>1E-3</v>
      </c>
      <c r="H2087" s="1">
        <v>1E-3</v>
      </c>
      <c r="I2087" s="1">
        <v>1E-3</v>
      </c>
      <c r="J2087" s="1">
        <v>0.4985</v>
      </c>
    </row>
    <row r="2088" spans="1:10" x14ac:dyDescent="0.2">
      <c r="A2088" t="str">
        <f>"19/03/2018"</f>
        <v>19/03/2018</v>
      </c>
      <c r="B2088">
        <v>1</v>
      </c>
      <c r="C2088">
        <v>74000</v>
      </c>
      <c r="D2088">
        <v>130533</v>
      </c>
      <c r="E2088">
        <v>74000</v>
      </c>
      <c r="F2088">
        <v>74000</v>
      </c>
      <c r="G2088" s="1">
        <v>1E-3</v>
      </c>
      <c r="H2088" s="1">
        <v>1E-3</v>
      </c>
      <c r="I2088" s="1">
        <v>1E-3</v>
      </c>
      <c r="J2088" s="1">
        <v>0.51700000000000002</v>
      </c>
    </row>
    <row r="2089" spans="1:10" x14ac:dyDescent="0.2">
      <c r="A2089" t="str">
        <f>"18/03/2018"</f>
        <v>18/03/2018</v>
      </c>
      <c r="B2089">
        <v>1</v>
      </c>
      <c r="C2089">
        <v>75000</v>
      </c>
      <c r="D2089">
        <v>132128</v>
      </c>
      <c r="E2089">
        <v>75000</v>
      </c>
      <c r="F2089">
        <v>75000</v>
      </c>
      <c r="G2089" s="1">
        <v>1E-3</v>
      </c>
      <c r="H2089" s="1">
        <v>1E-3</v>
      </c>
      <c r="I2089" s="1">
        <v>1E-3</v>
      </c>
      <c r="J2089" s="1">
        <v>0.52029999999999998</v>
      </c>
    </row>
    <row r="2090" spans="1:10" x14ac:dyDescent="0.2">
      <c r="A2090" t="str">
        <f>"15/03/2018"</f>
        <v>15/03/2018</v>
      </c>
      <c r="B2090">
        <v>3</v>
      </c>
      <c r="C2090">
        <v>80000</v>
      </c>
      <c r="D2090">
        <v>140173</v>
      </c>
      <c r="E2090">
        <v>80000</v>
      </c>
      <c r="F2090">
        <v>80000</v>
      </c>
      <c r="G2090" s="1">
        <v>1E-3</v>
      </c>
      <c r="H2090" s="1">
        <v>1E-3</v>
      </c>
      <c r="I2090" s="1">
        <v>1E-3</v>
      </c>
      <c r="J2090" s="1">
        <v>0.50880000000000003</v>
      </c>
    </row>
    <row r="2091" spans="1:10" x14ac:dyDescent="0.2">
      <c r="A2091" t="str">
        <f>"14/03/2018"</f>
        <v>14/03/2018</v>
      </c>
      <c r="B2091">
        <v>1</v>
      </c>
      <c r="C2091">
        <v>86000</v>
      </c>
      <c r="D2091">
        <v>152475</v>
      </c>
      <c r="E2091">
        <v>86000</v>
      </c>
      <c r="F2091">
        <v>86000</v>
      </c>
      <c r="G2091" s="1">
        <v>1E-3</v>
      </c>
      <c r="H2091" s="1">
        <v>1E-3</v>
      </c>
      <c r="I2091" s="1">
        <v>1E-3</v>
      </c>
      <c r="J2091" s="1">
        <v>0.51190000000000002</v>
      </c>
    </row>
    <row r="2092" spans="1:10" x14ac:dyDescent="0.2">
      <c r="A2092" t="str">
        <f>"13/03/2018"</f>
        <v>13/03/2018</v>
      </c>
      <c r="B2092">
        <v>1</v>
      </c>
      <c r="C2092">
        <v>86000</v>
      </c>
      <c r="D2092">
        <v>161977</v>
      </c>
      <c r="E2092">
        <v>86000</v>
      </c>
      <c r="F2092">
        <v>86000</v>
      </c>
      <c r="G2092" s="1">
        <v>1E-3</v>
      </c>
      <c r="H2092" s="1">
        <v>1E-3</v>
      </c>
      <c r="I2092" s="1">
        <v>1E-3</v>
      </c>
      <c r="J2092" s="1">
        <v>0.48159999999999997</v>
      </c>
    </row>
    <row r="2093" spans="1:10" x14ac:dyDescent="0.2">
      <c r="A2093" t="str">
        <f>"12/03/2018"</f>
        <v>12/03/2018</v>
      </c>
      <c r="B2093">
        <v>1</v>
      </c>
      <c r="C2093">
        <v>87000</v>
      </c>
      <c r="D2093">
        <v>165746</v>
      </c>
      <c r="E2093">
        <v>87000</v>
      </c>
      <c r="F2093">
        <v>87000</v>
      </c>
      <c r="G2093" s="1">
        <v>1E-3</v>
      </c>
      <c r="H2093" s="1">
        <v>1E-3</v>
      </c>
      <c r="I2093" s="1">
        <v>1E-3</v>
      </c>
      <c r="J2093" s="1">
        <v>0.47120000000000001</v>
      </c>
    </row>
    <row r="2094" spans="1:10" x14ac:dyDescent="0.2">
      <c r="A2094" t="str">
        <f>"11/03/2018"</f>
        <v>11/03/2018</v>
      </c>
      <c r="B2094">
        <v>1</v>
      </c>
      <c r="C2094">
        <v>87000</v>
      </c>
      <c r="D2094">
        <v>170930</v>
      </c>
      <c r="E2094">
        <v>87000</v>
      </c>
      <c r="F2094">
        <v>87000</v>
      </c>
      <c r="G2094" s="1">
        <v>1E-3</v>
      </c>
      <c r="H2094" s="1">
        <v>1E-3</v>
      </c>
      <c r="I2094" s="1">
        <v>1E-3</v>
      </c>
      <c r="J2094" s="1">
        <v>0.4592</v>
      </c>
    </row>
    <row r="2095" spans="1:10" x14ac:dyDescent="0.2">
      <c r="A2095" t="str">
        <f>"08/03/2018"</f>
        <v>08/03/2018</v>
      </c>
      <c r="B2095">
        <v>3</v>
      </c>
      <c r="C2095">
        <v>88000</v>
      </c>
      <c r="D2095">
        <v>172223</v>
      </c>
      <c r="E2095">
        <v>88000</v>
      </c>
      <c r="F2095">
        <v>88000</v>
      </c>
      <c r="G2095" s="1">
        <v>1E-3</v>
      </c>
      <c r="H2095" s="1">
        <v>1E-3</v>
      </c>
      <c r="I2095" s="1">
        <v>1E-3</v>
      </c>
      <c r="J2095" s="1">
        <v>0.45100000000000001</v>
      </c>
    </row>
    <row r="2096" spans="1:10" x14ac:dyDescent="0.2">
      <c r="A2096" t="str">
        <f>"07/03/2018"</f>
        <v>07/03/2018</v>
      </c>
      <c r="B2096">
        <v>1</v>
      </c>
      <c r="C2096">
        <v>88000</v>
      </c>
      <c r="D2096">
        <v>172757</v>
      </c>
      <c r="E2096">
        <v>88000</v>
      </c>
      <c r="F2096">
        <v>88000</v>
      </c>
      <c r="G2096" s="1">
        <v>1E-3</v>
      </c>
      <c r="H2096" s="1">
        <v>1E-3</v>
      </c>
      <c r="I2096" s="1">
        <v>1E-3</v>
      </c>
      <c r="J2096" s="1">
        <v>0.4501</v>
      </c>
    </row>
    <row r="2097" spans="1:10" x14ac:dyDescent="0.2">
      <c r="A2097" t="str">
        <f>"06/03/2018"</f>
        <v>06/03/2018</v>
      </c>
      <c r="B2097">
        <v>1</v>
      </c>
      <c r="C2097">
        <v>89000</v>
      </c>
      <c r="D2097">
        <v>164915</v>
      </c>
      <c r="E2097">
        <v>89000</v>
      </c>
      <c r="F2097">
        <v>89000</v>
      </c>
      <c r="G2097" s="1">
        <v>1E-3</v>
      </c>
      <c r="H2097" s="1">
        <v>1E-3</v>
      </c>
      <c r="I2097" s="1">
        <v>1E-3</v>
      </c>
      <c r="J2097" s="1">
        <v>0.4884</v>
      </c>
    </row>
    <row r="2098" spans="1:10" x14ac:dyDescent="0.2">
      <c r="A2098" t="str">
        <f>"05/03/2018"</f>
        <v>05/03/2018</v>
      </c>
      <c r="B2098">
        <v>1</v>
      </c>
      <c r="C2098">
        <v>89000</v>
      </c>
      <c r="D2098">
        <v>145824</v>
      </c>
      <c r="E2098">
        <v>89000</v>
      </c>
      <c r="F2098">
        <v>89000</v>
      </c>
      <c r="G2098" s="1">
        <v>1E-3</v>
      </c>
      <c r="H2098" s="1">
        <v>1E-3</v>
      </c>
      <c r="I2098" s="1">
        <v>1E-3</v>
      </c>
      <c r="J2098" s="1">
        <v>0.55969999999999998</v>
      </c>
    </row>
    <row r="2099" spans="1:10" x14ac:dyDescent="0.2">
      <c r="A2099" t="str">
        <f>"04/03/2018"</f>
        <v>04/03/2018</v>
      </c>
      <c r="B2099">
        <v>1</v>
      </c>
      <c r="C2099">
        <v>88000</v>
      </c>
      <c r="D2099">
        <v>128497</v>
      </c>
      <c r="E2099">
        <v>88000</v>
      </c>
      <c r="F2099">
        <v>88000</v>
      </c>
      <c r="G2099" s="1">
        <v>1E-3</v>
      </c>
      <c r="H2099" s="1">
        <v>1E-3</v>
      </c>
      <c r="I2099" s="1">
        <v>1E-3</v>
      </c>
      <c r="J2099" s="1">
        <v>0.64280000000000004</v>
      </c>
    </row>
    <row r="2100" spans="1:10" x14ac:dyDescent="0.2">
      <c r="A2100" t="str">
        <f>"28/02/2018"</f>
        <v>28/02/2018</v>
      </c>
      <c r="B2100">
        <v>4</v>
      </c>
      <c r="C2100">
        <v>75000</v>
      </c>
      <c r="D2100">
        <v>60268</v>
      </c>
      <c r="E2100">
        <v>60268</v>
      </c>
      <c r="F2100">
        <v>60268</v>
      </c>
      <c r="G2100" s="1">
        <v>1E-3</v>
      </c>
      <c r="H2100" s="1">
        <v>1E-3</v>
      </c>
      <c r="I2100" s="1">
        <v>1E-3</v>
      </c>
      <c r="J2100" s="1">
        <v>1</v>
      </c>
    </row>
    <row r="2101" spans="1:10" x14ac:dyDescent="0.2">
      <c r="A2101" t="str">
        <f>"27/02/2018"</f>
        <v>27/02/2018</v>
      </c>
      <c r="B2101">
        <v>1</v>
      </c>
      <c r="C2101">
        <v>64000</v>
      </c>
      <c r="D2101">
        <v>162431</v>
      </c>
      <c r="E2101">
        <v>64000</v>
      </c>
      <c r="F2101">
        <v>64000</v>
      </c>
      <c r="G2101" s="1">
        <v>1E-3</v>
      </c>
      <c r="H2101" s="1">
        <v>1E-3</v>
      </c>
      <c r="I2101" s="1">
        <v>1E-3</v>
      </c>
      <c r="J2101" s="1">
        <v>0.31690000000000002</v>
      </c>
    </row>
    <row r="2102" spans="1:10" x14ac:dyDescent="0.2">
      <c r="A2102" t="str">
        <f>"26/02/2018"</f>
        <v>26/02/2018</v>
      </c>
      <c r="B2102">
        <v>1</v>
      </c>
      <c r="C2102">
        <v>65000</v>
      </c>
      <c r="D2102">
        <v>151214</v>
      </c>
      <c r="E2102">
        <v>65000</v>
      </c>
      <c r="F2102">
        <v>65000</v>
      </c>
      <c r="G2102" s="1">
        <v>1E-3</v>
      </c>
      <c r="H2102" s="1">
        <v>1E-3</v>
      </c>
      <c r="I2102" s="1">
        <v>1E-3</v>
      </c>
      <c r="J2102" s="1">
        <v>0.3654</v>
      </c>
    </row>
    <row r="2103" spans="1:10" x14ac:dyDescent="0.2">
      <c r="A2103" t="str">
        <f>"25/02/2018"</f>
        <v>25/02/2018</v>
      </c>
      <c r="B2103">
        <v>1</v>
      </c>
      <c r="C2103">
        <v>67000</v>
      </c>
      <c r="D2103">
        <v>152559</v>
      </c>
      <c r="E2103">
        <v>67000</v>
      </c>
      <c r="F2103">
        <v>67000</v>
      </c>
      <c r="G2103" s="1">
        <v>1E-3</v>
      </c>
      <c r="H2103" s="1">
        <v>1E-3</v>
      </c>
      <c r="I2103" s="1">
        <v>1E-3</v>
      </c>
      <c r="J2103" s="1">
        <v>0.37409999999999999</v>
      </c>
    </row>
    <row r="2104" spans="1:10" x14ac:dyDescent="0.2">
      <c r="A2104" t="str">
        <f>"22/02/2018"</f>
        <v>22/02/2018</v>
      </c>
      <c r="B2104">
        <v>3</v>
      </c>
      <c r="C2104">
        <v>68000</v>
      </c>
      <c r="D2104">
        <v>147712</v>
      </c>
      <c r="E2104">
        <v>68000</v>
      </c>
      <c r="F2104">
        <v>68000</v>
      </c>
      <c r="G2104" s="1">
        <v>1E-3</v>
      </c>
      <c r="H2104" s="1">
        <v>1E-3</v>
      </c>
      <c r="I2104" s="1">
        <v>1E-3</v>
      </c>
      <c r="J2104" s="1">
        <v>0.3906</v>
      </c>
    </row>
    <row r="2105" spans="1:10" x14ac:dyDescent="0.2">
      <c r="A2105" t="str">
        <f>"21/02/2018"</f>
        <v>21/02/2018</v>
      </c>
      <c r="B2105">
        <v>1</v>
      </c>
      <c r="C2105">
        <v>68000</v>
      </c>
      <c r="D2105">
        <v>150036</v>
      </c>
      <c r="E2105">
        <v>68000</v>
      </c>
      <c r="F2105">
        <v>68000</v>
      </c>
      <c r="G2105" s="1">
        <v>1E-3</v>
      </c>
      <c r="H2105" s="1">
        <v>1E-3</v>
      </c>
      <c r="I2105" s="1">
        <v>1E-3</v>
      </c>
      <c r="J2105" s="1">
        <v>0.39639999999999997</v>
      </c>
    </row>
    <row r="2106" spans="1:10" x14ac:dyDescent="0.2">
      <c r="A2106" t="str">
        <f>"20/02/2018"</f>
        <v>20/02/2018</v>
      </c>
      <c r="B2106">
        <v>1</v>
      </c>
      <c r="C2106">
        <v>69000</v>
      </c>
      <c r="D2106">
        <v>152756</v>
      </c>
      <c r="E2106">
        <v>69000</v>
      </c>
      <c r="F2106">
        <v>69000</v>
      </c>
      <c r="G2106" s="1">
        <v>1E-3</v>
      </c>
      <c r="H2106" s="1">
        <v>1E-3</v>
      </c>
      <c r="I2106" s="1">
        <v>1E-3</v>
      </c>
      <c r="J2106" s="1">
        <v>0.39510000000000001</v>
      </c>
    </row>
    <row r="2107" spans="1:10" x14ac:dyDescent="0.2">
      <c r="A2107" t="str">
        <f>"19/02/2018"</f>
        <v>19/02/2018</v>
      </c>
      <c r="B2107">
        <v>1</v>
      </c>
      <c r="C2107">
        <v>71000</v>
      </c>
      <c r="D2107">
        <v>152193</v>
      </c>
      <c r="E2107">
        <v>71000</v>
      </c>
      <c r="F2107">
        <v>71000</v>
      </c>
      <c r="G2107" s="1">
        <v>1E-3</v>
      </c>
      <c r="H2107" s="1">
        <v>1E-3</v>
      </c>
      <c r="I2107" s="1">
        <v>1E-3</v>
      </c>
      <c r="J2107" s="1">
        <v>0.40310000000000001</v>
      </c>
    </row>
    <row r="2108" spans="1:10" x14ac:dyDescent="0.2">
      <c r="A2108" t="str">
        <f>"18/02/2018"</f>
        <v>18/02/2018</v>
      </c>
      <c r="B2108">
        <v>1</v>
      </c>
      <c r="C2108">
        <v>72000</v>
      </c>
      <c r="D2108">
        <v>168696</v>
      </c>
      <c r="E2108">
        <v>72000</v>
      </c>
      <c r="F2108">
        <v>72000</v>
      </c>
      <c r="G2108" s="1">
        <v>1E-3</v>
      </c>
      <c r="H2108" s="1">
        <v>1E-3</v>
      </c>
      <c r="I2108" s="1">
        <v>1E-3</v>
      </c>
      <c r="J2108" s="1">
        <v>0.37269999999999998</v>
      </c>
    </row>
    <row r="2109" spans="1:10" x14ac:dyDescent="0.2">
      <c r="A2109" t="str">
        <f>"15/02/2018"</f>
        <v>15/02/2018</v>
      </c>
      <c r="B2109">
        <v>3</v>
      </c>
      <c r="C2109">
        <v>80000</v>
      </c>
      <c r="D2109">
        <v>211155</v>
      </c>
      <c r="E2109">
        <v>80000</v>
      </c>
      <c r="F2109">
        <v>80000</v>
      </c>
      <c r="G2109" s="1">
        <v>1E-3</v>
      </c>
      <c r="H2109" s="1">
        <v>1E-3</v>
      </c>
      <c r="I2109" s="1">
        <v>1E-3</v>
      </c>
      <c r="J2109" s="1">
        <v>0.32079999999999997</v>
      </c>
    </row>
    <row r="2110" spans="1:10" x14ac:dyDescent="0.2">
      <c r="A2110" t="str">
        <f>"14/02/2018"</f>
        <v>14/02/2018</v>
      </c>
      <c r="B2110">
        <v>1</v>
      </c>
      <c r="C2110">
        <v>83000</v>
      </c>
      <c r="D2110">
        <v>223908</v>
      </c>
      <c r="E2110">
        <v>83000</v>
      </c>
      <c r="F2110">
        <v>83000</v>
      </c>
      <c r="G2110" s="1">
        <v>1E-3</v>
      </c>
      <c r="H2110" s="1">
        <v>1E-3</v>
      </c>
      <c r="I2110" s="1">
        <v>1E-3</v>
      </c>
      <c r="J2110" s="1">
        <v>0.30399999999999999</v>
      </c>
    </row>
    <row r="2111" spans="1:10" x14ac:dyDescent="0.2">
      <c r="A2111" t="str">
        <f>"13/02/2018"</f>
        <v>13/02/2018</v>
      </c>
      <c r="B2111">
        <v>1</v>
      </c>
      <c r="C2111">
        <v>83000</v>
      </c>
      <c r="D2111">
        <v>213912</v>
      </c>
      <c r="E2111">
        <v>83000</v>
      </c>
      <c r="F2111">
        <v>83000</v>
      </c>
      <c r="G2111" s="1">
        <v>1E-3</v>
      </c>
      <c r="H2111" s="1">
        <v>1E-3</v>
      </c>
      <c r="I2111" s="1">
        <v>1E-3</v>
      </c>
      <c r="J2111" s="1">
        <v>0.32869999999999999</v>
      </c>
    </row>
    <row r="2112" spans="1:10" x14ac:dyDescent="0.2">
      <c r="A2112" t="str">
        <f>"12/02/2018"</f>
        <v>12/02/2018</v>
      </c>
      <c r="B2112">
        <v>1</v>
      </c>
      <c r="C2112">
        <v>84000</v>
      </c>
      <c r="D2112">
        <v>193461</v>
      </c>
      <c r="E2112">
        <v>84000</v>
      </c>
      <c r="F2112">
        <v>84000</v>
      </c>
      <c r="G2112" s="1">
        <v>1E-3</v>
      </c>
      <c r="H2112" s="1">
        <v>1E-3</v>
      </c>
      <c r="I2112" s="1">
        <v>1E-3</v>
      </c>
      <c r="J2112" s="1">
        <v>0.37659999999999999</v>
      </c>
    </row>
    <row r="2113" spans="1:10" x14ac:dyDescent="0.2">
      <c r="A2113" t="str">
        <f>"11/02/2018"</f>
        <v>11/02/2018</v>
      </c>
      <c r="B2113">
        <v>1</v>
      </c>
      <c r="C2113">
        <v>83000</v>
      </c>
      <c r="D2113">
        <v>171699</v>
      </c>
      <c r="E2113">
        <v>83000</v>
      </c>
      <c r="F2113">
        <v>83000</v>
      </c>
      <c r="G2113" s="1">
        <v>1E-3</v>
      </c>
      <c r="H2113" s="1">
        <v>1E-3</v>
      </c>
      <c r="I2113" s="1">
        <v>1E-3</v>
      </c>
      <c r="J2113" s="1">
        <v>0.4244</v>
      </c>
    </row>
    <row r="2114" spans="1:10" x14ac:dyDescent="0.2">
      <c r="A2114" t="str">
        <f>"08/02/2018"</f>
        <v>08/02/2018</v>
      </c>
      <c r="B2114">
        <v>3</v>
      </c>
      <c r="C2114">
        <v>83000</v>
      </c>
      <c r="D2114">
        <v>162929</v>
      </c>
      <c r="E2114">
        <v>83000</v>
      </c>
      <c r="F2114">
        <v>83000</v>
      </c>
      <c r="G2114" s="1">
        <v>1E-3</v>
      </c>
      <c r="H2114" s="1">
        <v>1E-3</v>
      </c>
      <c r="I2114" s="1">
        <v>1E-3</v>
      </c>
      <c r="J2114" s="1">
        <v>0.4521</v>
      </c>
    </row>
    <row r="2115" spans="1:10" x14ac:dyDescent="0.2">
      <c r="A2115" t="str">
        <f>"07/02/2018"</f>
        <v>07/02/2018</v>
      </c>
      <c r="B2115">
        <v>1</v>
      </c>
      <c r="C2115">
        <v>83000</v>
      </c>
      <c r="D2115">
        <v>155483</v>
      </c>
      <c r="E2115">
        <v>83000</v>
      </c>
      <c r="F2115">
        <v>83000</v>
      </c>
      <c r="G2115" s="1">
        <v>1E-3</v>
      </c>
      <c r="H2115" s="1">
        <v>1E-3</v>
      </c>
      <c r="I2115" s="1">
        <v>1E-3</v>
      </c>
      <c r="J2115" s="1">
        <v>0.47689999999999999</v>
      </c>
    </row>
    <row r="2116" spans="1:10" x14ac:dyDescent="0.2">
      <c r="A2116" t="str">
        <f>"06/02/2018"</f>
        <v>06/02/2018</v>
      </c>
      <c r="B2116">
        <v>1</v>
      </c>
      <c r="C2116">
        <v>84000</v>
      </c>
      <c r="D2116">
        <v>161368</v>
      </c>
      <c r="E2116">
        <v>84000</v>
      </c>
      <c r="F2116">
        <v>84000</v>
      </c>
      <c r="G2116" s="1">
        <v>1E-3</v>
      </c>
      <c r="H2116" s="1">
        <v>1E-3</v>
      </c>
      <c r="I2116" s="1">
        <v>1E-3</v>
      </c>
      <c r="J2116" s="1">
        <v>0.4657</v>
      </c>
    </row>
    <row r="2117" spans="1:10" x14ac:dyDescent="0.2">
      <c r="A2117" t="str">
        <f>"05/02/2018"</f>
        <v>05/02/2018</v>
      </c>
      <c r="B2117">
        <v>1</v>
      </c>
      <c r="C2117">
        <v>87000</v>
      </c>
      <c r="D2117">
        <v>171900</v>
      </c>
      <c r="E2117">
        <v>87000</v>
      </c>
      <c r="F2117">
        <v>87000</v>
      </c>
      <c r="G2117" s="1">
        <v>1E-3</v>
      </c>
      <c r="H2117" s="1">
        <v>1E-3</v>
      </c>
      <c r="I2117" s="1">
        <v>1E-3</v>
      </c>
      <c r="J2117" s="1">
        <v>0.46920000000000001</v>
      </c>
    </row>
    <row r="2118" spans="1:10" x14ac:dyDescent="0.2">
      <c r="A2118" t="str">
        <f>"04/02/2018"</f>
        <v>04/02/2018</v>
      </c>
      <c r="B2118">
        <v>1</v>
      </c>
      <c r="C2118">
        <v>88000</v>
      </c>
      <c r="D2118">
        <v>184170</v>
      </c>
      <c r="E2118">
        <v>88000</v>
      </c>
      <c r="F2118">
        <v>88000</v>
      </c>
      <c r="G2118" s="1">
        <v>1E-3</v>
      </c>
      <c r="H2118" s="1">
        <v>1E-3</v>
      </c>
      <c r="I2118" s="1">
        <v>1E-3</v>
      </c>
      <c r="J2118" s="1">
        <v>0.4284</v>
      </c>
    </row>
    <row r="2119" spans="1:10" x14ac:dyDescent="0.2">
      <c r="A2119" t="str">
        <f>"01/02/2018"</f>
        <v>01/02/2018</v>
      </c>
      <c r="B2119">
        <v>3</v>
      </c>
      <c r="C2119">
        <v>88000</v>
      </c>
      <c r="D2119">
        <v>183508</v>
      </c>
      <c r="E2119">
        <v>88000</v>
      </c>
      <c r="F2119">
        <v>88000</v>
      </c>
      <c r="G2119" s="1">
        <v>1E-3</v>
      </c>
      <c r="H2119" s="1">
        <v>1E-3</v>
      </c>
      <c r="I2119" s="1">
        <v>1E-3</v>
      </c>
      <c r="J2119" s="1">
        <v>0.42330000000000001</v>
      </c>
    </row>
    <row r="2120" spans="1:10" x14ac:dyDescent="0.2">
      <c r="A2120" t="str">
        <f>"31/01/2018"</f>
        <v>31/01/2018</v>
      </c>
      <c r="B2120">
        <v>1</v>
      </c>
      <c r="C2120">
        <v>86000</v>
      </c>
      <c r="D2120">
        <v>188525</v>
      </c>
      <c r="E2120">
        <v>86000</v>
      </c>
      <c r="F2120">
        <v>86000</v>
      </c>
      <c r="G2120" s="1">
        <v>1E-3</v>
      </c>
      <c r="H2120" s="1">
        <v>1E-3</v>
      </c>
      <c r="I2120" s="1">
        <v>1E-3</v>
      </c>
      <c r="J2120" s="1">
        <v>0.40060000000000001</v>
      </c>
    </row>
    <row r="2121" spans="1:10" x14ac:dyDescent="0.2">
      <c r="A2121" t="str">
        <f>"30/01/2018"</f>
        <v>30/01/2018</v>
      </c>
      <c r="B2121">
        <v>1</v>
      </c>
      <c r="C2121">
        <v>75000</v>
      </c>
      <c r="D2121">
        <v>154162</v>
      </c>
      <c r="E2121">
        <v>75000</v>
      </c>
      <c r="F2121">
        <v>75000</v>
      </c>
      <c r="G2121" s="1">
        <v>1E-3</v>
      </c>
      <c r="H2121" s="1">
        <v>1E-3</v>
      </c>
      <c r="I2121" s="1">
        <v>1E-3</v>
      </c>
      <c r="J2121" s="1">
        <v>0.43280000000000002</v>
      </c>
    </row>
    <row r="2122" spans="1:10" x14ac:dyDescent="0.2">
      <c r="A2122" t="str">
        <f>"29/01/2018"</f>
        <v>29/01/2018</v>
      </c>
      <c r="B2122">
        <v>1</v>
      </c>
      <c r="C2122">
        <v>76000</v>
      </c>
      <c r="D2122">
        <v>156518</v>
      </c>
      <c r="E2122">
        <v>76000</v>
      </c>
      <c r="F2122">
        <v>76000</v>
      </c>
      <c r="G2122" s="1">
        <v>1E-3</v>
      </c>
      <c r="H2122" s="1">
        <v>1E-3</v>
      </c>
      <c r="I2122" s="1">
        <v>1E-3</v>
      </c>
      <c r="J2122" s="1">
        <v>0.43409999999999999</v>
      </c>
    </row>
    <row r="2123" spans="1:10" x14ac:dyDescent="0.2">
      <c r="A2123" t="str">
        <f>"28/01/2018"</f>
        <v>28/01/2018</v>
      </c>
      <c r="B2123">
        <v>1</v>
      </c>
      <c r="C2123">
        <v>76000</v>
      </c>
      <c r="D2123">
        <v>151579</v>
      </c>
      <c r="E2123">
        <v>76000</v>
      </c>
      <c r="F2123">
        <v>76000</v>
      </c>
      <c r="G2123" s="1">
        <v>1E-3</v>
      </c>
      <c r="H2123" s="1">
        <v>1E-3</v>
      </c>
      <c r="I2123" s="1">
        <v>1E-3</v>
      </c>
      <c r="J2123" s="1">
        <v>0.45129999999999998</v>
      </c>
    </row>
    <row r="2124" spans="1:10" x14ac:dyDescent="0.2">
      <c r="A2124" t="str">
        <f>"25/01/2018"</f>
        <v>25/01/2018</v>
      </c>
      <c r="B2124">
        <v>3</v>
      </c>
      <c r="C2124">
        <v>74000</v>
      </c>
      <c r="D2124">
        <v>143684</v>
      </c>
      <c r="E2124">
        <v>74000</v>
      </c>
      <c r="F2124">
        <v>74000</v>
      </c>
      <c r="G2124" s="1">
        <v>1E-3</v>
      </c>
      <c r="H2124" s="1">
        <v>1E-3</v>
      </c>
      <c r="I2124" s="1">
        <v>1E-3</v>
      </c>
      <c r="J2124" s="1">
        <v>0.46479999999999999</v>
      </c>
    </row>
    <row r="2125" spans="1:10" x14ac:dyDescent="0.2">
      <c r="A2125" t="str">
        <f>"24/01/2018"</f>
        <v>24/01/2018</v>
      </c>
      <c r="B2125">
        <v>1</v>
      </c>
      <c r="C2125">
        <v>76000</v>
      </c>
      <c r="D2125">
        <v>152705</v>
      </c>
      <c r="E2125">
        <v>76000</v>
      </c>
      <c r="F2125">
        <v>76000</v>
      </c>
      <c r="G2125" s="1">
        <v>1E-3</v>
      </c>
      <c r="H2125" s="1">
        <v>1E-3</v>
      </c>
      <c r="I2125" s="1">
        <v>1E-3</v>
      </c>
      <c r="J2125" s="1">
        <v>0.44180000000000003</v>
      </c>
    </row>
    <row r="2126" spans="1:10" x14ac:dyDescent="0.2">
      <c r="A2126" t="str">
        <f>"23/01/2018"</f>
        <v>23/01/2018</v>
      </c>
      <c r="B2126">
        <v>1</v>
      </c>
      <c r="C2126">
        <v>78000</v>
      </c>
      <c r="D2126">
        <v>158150</v>
      </c>
      <c r="E2126">
        <v>78000</v>
      </c>
      <c r="F2126">
        <v>78000</v>
      </c>
      <c r="G2126" s="1">
        <v>1E-3</v>
      </c>
      <c r="H2126" s="1">
        <v>1E-3</v>
      </c>
      <c r="I2126" s="1">
        <v>1E-3</v>
      </c>
      <c r="J2126" s="1">
        <v>0.442</v>
      </c>
    </row>
    <row r="2127" spans="1:10" x14ac:dyDescent="0.2">
      <c r="A2127" t="str">
        <f>"22/01/2018"</f>
        <v>22/01/2018</v>
      </c>
      <c r="B2127">
        <v>1</v>
      </c>
      <c r="C2127">
        <v>80000</v>
      </c>
      <c r="D2127">
        <v>164480</v>
      </c>
      <c r="E2127">
        <v>80000</v>
      </c>
      <c r="F2127">
        <v>80000</v>
      </c>
      <c r="G2127" s="1">
        <v>1E-3</v>
      </c>
      <c r="H2127" s="1">
        <v>1E-3</v>
      </c>
      <c r="I2127" s="1">
        <v>1E-3</v>
      </c>
      <c r="J2127" s="1">
        <v>0.43559999999999999</v>
      </c>
    </row>
    <row r="2128" spans="1:10" x14ac:dyDescent="0.2">
      <c r="A2128" t="str">
        <f>"21/01/2018"</f>
        <v>21/01/2018</v>
      </c>
      <c r="B2128">
        <v>1</v>
      </c>
      <c r="C2128">
        <v>81000</v>
      </c>
      <c r="D2128">
        <v>171220</v>
      </c>
      <c r="E2128">
        <v>81000</v>
      </c>
      <c r="F2128">
        <v>81000</v>
      </c>
      <c r="G2128" s="1">
        <v>1E-3</v>
      </c>
      <c r="H2128" s="1">
        <v>1E-3</v>
      </c>
      <c r="I2128" s="1">
        <v>1E-3</v>
      </c>
      <c r="J2128" s="1">
        <v>0.42680000000000001</v>
      </c>
    </row>
    <row r="2129" spans="1:10" x14ac:dyDescent="0.2">
      <c r="A2129" t="str">
        <f>"18/01/2018"</f>
        <v>18/01/2018</v>
      </c>
      <c r="B2129">
        <v>3</v>
      </c>
      <c r="C2129">
        <v>82000</v>
      </c>
      <c r="D2129">
        <v>176290</v>
      </c>
      <c r="E2129">
        <v>82000</v>
      </c>
      <c r="F2129">
        <v>82000</v>
      </c>
      <c r="G2129" s="1">
        <v>1E-3</v>
      </c>
      <c r="H2129" s="1">
        <v>1E-3</v>
      </c>
      <c r="I2129" s="1">
        <v>1E-3</v>
      </c>
      <c r="J2129" s="1">
        <v>0.41599999999999998</v>
      </c>
    </row>
    <row r="2130" spans="1:10" x14ac:dyDescent="0.2">
      <c r="A2130" t="str">
        <f>"17/01/2018"</f>
        <v>17/01/2018</v>
      </c>
      <c r="B2130">
        <v>1</v>
      </c>
      <c r="C2130">
        <v>83000</v>
      </c>
      <c r="D2130">
        <v>174297</v>
      </c>
      <c r="E2130">
        <v>83000</v>
      </c>
      <c r="F2130">
        <v>83000</v>
      </c>
      <c r="G2130" s="1">
        <v>1E-3</v>
      </c>
      <c r="H2130" s="1">
        <v>1E-3</v>
      </c>
      <c r="I2130" s="1">
        <v>1E-3</v>
      </c>
      <c r="J2130" s="1">
        <v>0.41270000000000001</v>
      </c>
    </row>
    <row r="2131" spans="1:10" x14ac:dyDescent="0.2">
      <c r="A2131" t="str">
        <f>"16/01/2018"</f>
        <v>16/01/2018</v>
      </c>
      <c r="B2131">
        <v>1</v>
      </c>
      <c r="C2131">
        <v>83000</v>
      </c>
      <c r="D2131">
        <v>175008</v>
      </c>
      <c r="E2131">
        <v>83000</v>
      </c>
      <c r="F2131">
        <v>83000</v>
      </c>
      <c r="G2131" s="1">
        <v>1E-3</v>
      </c>
      <c r="H2131" s="1">
        <v>1E-3</v>
      </c>
      <c r="I2131" s="1">
        <v>1E-3</v>
      </c>
      <c r="J2131" s="1">
        <v>0.41870000000000002</v>
      </c>
    </row>
    <row r="2132" spans="1:10" x14ac:dyDescent="0.2">
      <c r="A2132" t="str">
        <f>"15/01/2018"</f>
        <v>15/01/2018</v>
      </c>
      <c r="B2132">
        <v>1</v>
      </c>
      <c r="C2132">
        <v>92000</v>
      </c>
      <c r="D2132">
        <v>162243</v>
      </c>
      <c r="E2132">
        <v>92000</v>
      </c>
      <c r="F2132">
        <v>92000</v>
      </c>
      <c r="G2132" s="1">
        <v>1E-3</v>
      </c>
      <c r="H2132" s="1">
        <v>1E-3</v>
      </c>
      <c r="I2132" s="1">
        <v>1E-3</v>
      </c>
      <c r="J2132" s="1">
        <v>0.51749999999999996</v>
      </c>
    </row>
    <row r="2133" spans="1:10" x14ac:dyDescent="0.2">
      <c r="A2133" t="str">
        <f>"14/01/2018"</f>
        <v>14/01/2018</v>
      </c>
      <c r="B2133">
        <v>1</v>
      </c>
      <c r="C2133">
        <v>92000</v>
      </c>
      <c r="D2133">
        <v>150535</v>
      </c>
      <c r="E2133">
        <v>92000</v>
      </c>
      <c r="F2133">
        <v>92000</v>
      </c>
      <c r="G2133" s="1">
        <v>1E-3</v>
      </c>
      <c r="H2133" s="1">
        <v>1E-3</v>
      </c>
      <c r="I2133" s="1">
        <v>1E-3</v>
      </c>
      <c r="J2133" s="1">
        <v>0.56979999999999997</v>
      </c>
    </row>
    <row r="2134" spans="1:10" x14ac:dyDescent="0.2">
      <c r="A2134" t="str">
        <f>"11/01/2018"</f>
        <v>11/01/2018</v>
      </c>
      <c r="B2134">
        <v>3</v>
      </c>
      <c r="C2134">
        <v>93000</v>
      </c>
      <c r="D2134">
        <v>127764</v>
      </c>
      <c r="E2134">
        <v>93000</v>
      </c>
      <c r="F2134">
        <v>93000</v>
      </c>
      <c r="G2134" s="1">
        <v>1E-3</v>
      </c>
      <c r="H2134" s="1">
        <v>1E-3</v>
      </c>
      <c r="I2134" s="1">
        <v>1E-3</v>
      </c>
      <c r="J2134" s="1">
        <v>0.69130000000000003</v>
      </c>
    </row>
    <row r="2135" spans="1:10" x14ac:dyDescent="0.2">
      <c r="A2135" t="str">
        <f>"10/01/2018"</f>
        <v>10/01/2018</v>
      </c>
      <c r="B2135">
        <v>1</v>
      </c>
      <c r="C2135">
        <v>95000</v>
      </c>
      <c r="D2135">
        <v>88928</v>
      </c>
      <c r="E2135">
        <v>88928</v>
      </c>
      <c r="F2135">
        <v>88928</v>
      </c>
      <c r="G2135" s="1">
        <v>1E-3</v>
      </c>
      <c r="H2135" s="1">
        <v>1E-3</v>
      </c>
      <c r="I2135" s="1">
        <v>1E-3</v>
      </c>
      <c r="J2135" s="1">
        <v>1</v>
      </c>
    </row>
    <row r="2136" spans="1:10" x14ac:dyDescent="0.2">
      <c r="A2136" t="str">
        <f>"09/01/2018"</f>
        <v>09/01/2018</v>
      </c>
      <c r="B2136">
        <v>1</v>
      </c>
      <c r="C2136">
        <v>93000</v>
      </c>
      <c r="D2136">
        <v>198773</v>
      </c>
      <c r="E2136">
        <v>93000</v>
      </c>
      <c r="F2136">
        <v>93000</v>
      </c>
      <c r="G2136" s="1">
        <v>1E-3</v>
      </c>
      <c r="H2136" s="1">
        <v>1E-3</v>
      </c>
      <c r="I2136" s="1">
        <v>1E-3</v>
      </c>
      <c r="J2136" s="1">
        <v>0.4027</v>
      </c>
    </row>
    <row r="2137" spans="1:10" x14ac:dyDescent="0.2">
      <c r="A2137" t="str">
        <f>"08/01/2018"</f>
        <v>08/01/2018</v>
      </c>
      <c r="B2137">
        <v>1</v>
      </c>
      <c r="C2137">
        <v>94000</v>
      </c>
      <c r="D2137">
        <v>201893</v>
      </c>
      <c r="E2137">
        <v>94000</v>
      </c>
      <c r="F2137">
        <v>94000</v>
      </c>
      <c r="G2137" s="1">
        <v>1E-3</v>
      </c>
      <c r="H2137" s="1">
        <v>1E-3</v>
      </c>
      <c r="I2137" s="1">
        <v>1E-3</v>
      </c>
      <c r="J2137" s="1">
        <v>0.41320000000000001</v>
      </c>
    </row>
    <row r="2138" spans="1:10" x14ac:dyDescent="0.2">
      <c r="A2138" t="str">
        <f>"07/01/2018"</f>
        <v>07/01/2018</v>
      </c>
      <c r="B2138">
        <v>1</v>
      </c>
      <c r="C2138">
        <v>94000</v>
      </c>
      <c r="D2138">
        <v>201584</v>
      </c>
      <c r="E2138">
        <v>94000</v>
      </c>
      <c r="F2138">
        <v>94000</v>
      </c>
      <c r="G2138" s="1">
        <v>1E-3</v>
      </c>
      <c r="H2138" s="1">
        <v>1E-3</v>
      </c>
      <c r="I2138" s="1">
        <v>1E-3</v>
      </c>
      <c r="J2138" s="1">
        <v>0.41860000000000003</v>
      </c>
    </row>
    <row r="2139" spans="1:10" x14ac:dyDescent="0.2">
      <c r="A2139" t="str">
        <f>"04/01/2018"</f>
        <v>04/01/2018</v>
      </c>
      <c r="B2139">
        <v>3</v>
      </c>
      <c r="C2139">
        <v>95000</v>
      </c>
      <c r="D2139">
        <v>215632</v>
      </c>
      <c r="E2139">
        <v>95000</v>
      </c>
      <c r="F2139">
        <v>95000</v>
      </c>
      <c r="G2139" s="1">
        <v>1E-3</v>
      </c>
      <c r="H2139" s="1">
        <v>1E-3</v>
      </c>
      <c r="I2139" s="1">
        <v>1E-3</v>
      </c>
      <c r="J2139" s="1">
        <v>0.40139999999999998</v>
      </c>
    </row>
    <row r="2140" spans="1:10" x14ac:dyDescent="0.2">
      <c r="A2140" t="str">
        <f>"03/01/2018"</f>
        <v>03/01/2018</v>
      </c>
      <c r="B2140">
        <v>1</v>
      </c>
      <c r="C2140">
        <v>95000</v>
      </c>
      <c r="D2140">
        <v>209189</v>
      </c>
      <c r="E2140">
        <v>95000</v>
      </c>
      <c r="F2140">
        <v>95000</v>
      </c>
      <c r="G2140" s="1">
        <v>1E-3</v>
      </c>
      <c r="H2140" s="1">
        <v>1E-3</v>
      </c>
      <c r="I2140" s="1">
        <v>1E-3</v>
      </c>
      <c r="J2140" s="1">
        <v>0.40989999999999999</v>
      </c>
    </row>
    <row r="2141" spans="1:10" x14ac:dyDescent="0.2">
      <c r="A2141" t="str">
        <f>"02/01/2018"</f>
        <v>02/01/2018</v>
      </c>
      <c r="B2141">
        <v>1</v>
      </c>
      <c r="C2141">
        <v>95000</v>
      </c>
      <c r="D2141">
        <v>196479</v>
      </c>
      <c r="E2141">
        <v>95000</v>
      </c>
      <c r="F2141">
        <v>95000</v>
      </c>
      <c r="G2141" s="1">
        <v>1E-3</v>
      </c>
      <c r="H2141" s="1">
        <v>1E-3</v>
      </c>
      <c r="I2141" s="1">
        <v>1E-3</v>
      </c>
      <c r="J2141" s="1">
        <v>0.43869999999999998</v>
      </c>
    </row>
    <row r="2142" spans="1:10" x14ac:dyDescent="0.2">
      <c r="A2142" t="str">
        <f>"01/01/2018"</f>
        <v>01/01/2018</v>
      </c>
      <c r="B2142">
        <v>1</v>
      </c>
      <c r="C2142">
        <v>91000</v>
      </c>
      <c r="D2142">
        <v>183961</v>
      </c>
      <c r="E2142">
        <v>91000</v>
      </c>
      <c r="F2142">
        <v>91000</v>
      </c>
      <c r="G2142" s="1">
        <v>1E-3</v>
      </c>
      <c r="H2142" s="1">
        <v>1E-3</v>
      </c>
      <c r="I2142" s="1">
        <v>1E-3</v>
      </c>
      <c r="J2142" s="1">
        <v>0.45639999999999997</v>
      </c>
    </row>
    <row r="2143" spans="1:10" x14ac:dyDescent="0.2">
      <c r="A2143" t="str">
        <f>"31/12/2017"</f>
        <v>31/12/2017</v>
      </c>
      <c r="B2143">
        <v>1</v>
      </c>
      <c r="C2143">
        <v>89000</v>
      </c>
      <c r="D2143">
        <v>175367</v>
      </c>
      <c r="E2143">
        <v>89000</v>
      </c>
      <c r="F2143">
        <v>89000</v>
      </c>
      <c r="G2143" s="1">
        <v>1E-3</v>
      </c>
      <c r="H2143" s="1">
        <v>1E-3</v>
      </c>
      <c r="I2143" s="1">
        <v>1E-3</v>
      </c>
      <c r="J2143" s="1">
        <v>0.46410000000000001</v>
      </c>
    </row>
    <row r="2144" spans="1:10" x14ac:dyDescent="0.2">
      <c r="A2144" t="str">
        <f>"28/12/2017"</f>
        <v>28/12/2017</v>
      </c>
      <c r="B2144">
        <v>3</v>
      </c>
      <c r="C2144">
        <v>83000</v>
      </c>
      <c r="D2144">
        <v>206589</v>
      </c>
      <c r="E2144">
        <v>83000</v>
      </c>
      <c r="F2144">
        <v>83000</v>
      </c>
      <c r="G2144" s="1">
        <v>1E-3</v>
      </c>
      <c r="H2144" s="1">
        <v>1E-3</v>
      </c>
      <c r="I2144" s="1">
        <v>1E-3</v>
      </c>
      <c r="J2144" s="1">
        <v>0.35899999999999999</v>
      </c>
    </row>
    <row r="2145" spans="1:10" x14ac:dyDescent="0.2">
      <c r="A2145" t="str">
        <f>"27/12/2017"</f>
        <v>27/12/2017</v>
      </c>
      <c r="B2145">
        <v>1</v>
      </c>
      <c r="C2145">
        <v>81000</v>
      </c>
      <c r="D2145">
        <v>207260</v>
      </c>
      <c r="E2145">
        <v>81000</v>
      </c>
      <c r="F2145">
        <v>81000</v>
      </c>
      <c r="G2145" s="1">
        <v>1E-3</v>
      </c>
      <c r="H2145" s="1">
        <v>1E-3</v>
      </c>
      <c r="I2145" s="1">
        <v>1E-3</v>
      </c>
      <c r="J2145" s="1">
        <v>0.32879999999999998</v>
      </c>
    </row>
    <row r="2146" spans="1:10" x14ac:dyDescent="0.2">
      <c r="A2146" t="str">
        <f>"26/12/2017"</f>
        <v>26/12/2017</v>
      </c>
      <c r="B2146">
        <v>1</v>
      </c>
      <c r="C2146">
        <v>79000</v>
      </c>
      <c r="D2146">
        <v>198879</v>
      </c>
      <c r="E2146">
        <v>79000</v>
      </c>
      <c r="F2146">
        <v>79000</v>
      </c>
      <c r="G2146" s="1">
        <v>1E-3</v>
      </c>
      <c r="H2146" s="1">
        <v>1E-3</v>
      </c>
      <c r="I2146" s="1">
        <v>1E-3</v>
      </c>
      <c r="J2146" s="1">
        <v>0.3453</v>
      </c>
    </row>
    <row r="2147" spans="1:10" x14ac:dyDescent="0.2">
      <c r="A2147" t="str">
        <f>"25/12/2017"</f>
        <v>25/12/2017</v>
      </c>
      <c r="B2147">
        <v>1</v>
      </c>
      <c r="C2147">
        <v>79000</v>
      </c>
      <c r="D2147">
        <v>187592</v>
      </c>
      <c r="E2147">
        <v>79000</v>
      </c>
      <c r="F2147">
        <v>79000</v>
      </c>
      <c r="G2147" s="1">
        <v>1E-3</v>
      </c>
      <c r="H2147" s="1">
        <v>1E-3</v>
      </c>
      <c r="I2147" s="1">
        <v>1E-3</v>
      </c>
      <c r="J2147" s="1">
        <v>0.37140000000000001</v>
      </c>
    </row>
    <row r="2148" spans="1:10" x14ac:dyDescent="0.2">
      <c r="A2148" t="str">
        <f>"24/12/2017"</f>
        <v>24/12/2017</v>
      </c>
      <c r="B2148">
        <v>1</v>
      </c>
      <c r="C2148">
        <v>78000</v>
      </c>
      <c r="D2148">
        <v>177880</v>
      </c>
      <c r="E2148">
        <v>78000</v>
      </c>
      <c r="F2148">
        <v>78000</v>
      </c>
      <c r="G2148" s="1">
        <v>1E-3</v>
      </c>
      <c r="H2148" s="1">
        <v>1E-3</v>
      </c>
      <c r="I2148" s="1">
        <v>1E-3</v>
      </c>
      <c r="J2148" s="1">
        <v>0.38990000000000002</v>
      </c>
    </row>
    <row r="2149" spans="1:10" x14ac:dyDescent="0.2">
      <c r="A2149" t="str">
        <f>"21/12/2017"</f>
        <v>21/12/2017</v>
      </c>
      <c r="B2149">
        <v>3</v>
      </c>
      <c r="C2149">
        <v>79000</v>
      </c>
      <c r="D2149">
        <v>184911</v>
      </c>
      <c r="E2149">
        <v>79000</v>
      </c>
      <c r="F2149">
        <v>79000</v>
      </c>
      <c r="G2149" s="1">
        <v>1E-3</v>
      </c>
      <c r="H2149" s="1">
        <v>1E-3</v>
      </c>
      <c r="I2149" s="1">
        <v>1E-3</v>
      </c>
      <c r="J2149" s="1">
        <v>0.37819999999999998</v>
      </c>
    </row>
    <row r="2150" spans="1:10" x14ac:dyDescent="0.2">
      <c r="A2150" t="str">
        <f>"20/12/2017"</f>
        <v>20/12/2017</v>
      </c>
      <c r="B2150">
        <v>1</v>
      </c>
      <c r="C2150">
        <v>76000</v>
      </c>
      <c r="D2150">
        <v>174856</v>
      </c>
      <c r="E2150">
        <v>76000</v>
      </c>
      <c r="F2150">
        <v>76000</v>
      </c>
      <c r="G2150" s="1">
        <v>1E-3</v>
      </c>
      <c r="H2150" s="1">
        <v>1E-3</v>
      </c>
      <c r="I2150" s="1">
        <v>1E-3</v>
      </c>
      <c r="J2150" s="1">
        <v>0.38469999999999999</v>
      </c>
    </row>
    <row r="2151" spans="1:10" x14ac:dyDescent="0.2">
      <c r="A2151" t="str">
        <f>"19/12/2017"</f>
        <v>19/12/2017</v>
      </c>
      <c r="B2151">
        <v>1</v>
      </c>
      <c r="C2151">
        <v>76000</v>
      </c>
      <c r="D2151">
        <v>175625</v>
      </c>
      <c r="E2151">
        <v>76000</v>
      </c>
      <c r="F2151">
        <v>76000</v>
      </c>
      <c r="G2151" s="1">
        <v>1E-3</v>
      </c>
      <c r="H2151" s="1">
        <v>1E-3</v>
      </c>
      <c r="I2151" s="1">
        <v>1E-3</v>
      </c>
      <c r="J2151" s="1">
        <v>0.38550000000000001</v>
      </c>
    </row>
    <row r="2152" spans="1:10" x14ac:dyDescent="0.2">
      <c r="A2152" t="str">
        <f>"18/12/2017"</f>
        <v>18/12/2017</v>
      </c>
      <c r="B2152">
        <v>1</v>
      </c>
      <c r="C2152">
        <v>76000</v>
      </c>
      <c r="D2152">
        <v>175674</v>
      </c>
      <c r="E2152">
        <v>76000</v>
      </c>
      <c r="F2152">
        <v>76000</v>
      </c>
      <c r="G2152" s="1">
        <v>1E-3</v>
      </c>
      <c r="H2152" s="1">
        <v>1E-3</v>
      </c>
      <c r="I2152" s="1">
        <v>1E-3</v>
      </c>
      <c r="J2152" s="1">
        <v>0.38100000000000001</v>
      </c>
    </row>
    <row r="2153" spans="1:10" x14ac:dyDescent="0.2">
      <c r="A2153" t="str">
        <f>"17/12/2017"</f>
        <v>17/12/2017</v>
      </c>
      <c r="B2153">
        <v>1</v>
      </c>
      <c r="C2153">
        <v>76000</v>
      </c>
      <c r="D2153">
        <v>190323</v>
      </c>
      <c r="E2153">
        <v>76000</v>
      </c>
      <c r="F2153">
        <v>76000</v>
      </c>
      <c r="G2153" s="1">
        <v>1E-3</v>
      </c>
      <c r="H2153" s="1">
        <v>1E-3</v>
      </c>
      <c r="I2153" s="1">
        <v>1E-3</v>
      </c>
      <c r="J2153" s="1">
        <v>0.35520000000000002</v>
      </c>
    </row>
    <row r="2154" spans="1:10" x14ac:dyDescent="0.2">
      <c r="A2154" t="str">
        <f>"14/12/2017"</f>
        <v>14/12/2017</v>
      </c>
      <c r="B2154">
        <v>3</v>
      </c>
      <c r="C2154">
        <v>84000</v>
      </c>
      <c r="D2154">
        <v>214558</v>
      </c>
      <c r="E2154">
        <v>84000</v>
      </c>
      <c r="F2154">
        <v>84000</v>
      </c>
      <c r="G2154" s="1">
        <v>1E-3</v>
      </c>
      <c r="H2154" s="1">
        <v>1E-3</v>
      </c>
      <c r="I2154" s="1">
        <v>1E-3</v>
      </c>
      <c r="J2154" s="1">
        <v>0.3448</v>
      </c>
    </row>
    <row r="2155" spans="1:10" x14ac:dyDescent="0.2">
      <c r="A2155" t="str">
        <f>"13/12/2017"</f>
        <v>13/12/2017</v>
      </c>
      <c r="B2155">
        <v>1</v>
      </c>
      <c r="C2155">
        <v>85000</v>
      </c>
      <c r="D2155">
        <v>208493</v>
      </c>
      <c r="E2155">
        <v>85000</v>
      </c>
      <c r="F2155">
        <v>85000</v>
      </c>
      <c r="G2155" s="1">
        <v>1E-3</v>
      </c>
      <c r="H2155" s="1">
        <v>1E-3</v>
      </c>
      <c r="I2155" s="1">
        <v>1E-3</v>
      </c>
      <c r="J2155" s="1">
        <v>0.35049999999999998</v>
      </c>
    </row>
    <row r="2156" spans="1:10" x14ac:dyDescent="0.2">
      <c r="A2156" t="str">
        <f>"12/12/2017"</f>
        <v>12/12/2017</v>
      </c>
      <c r="B2156">
        <v>1</v>
      </c>
      <c r="C2156">
        <v>83000</v>
      </c>
      <c r="D2156">
        <v>208615</v>
      </c>
      <c r="E2156">
        <v>83000</v>
      </c>
      <c r="F2156">
        <v>83000</v>
      </c>
      <c r="G2156" s="1">
        <v>1E-3</v>
      </c>
      <c r="H2156" s="1">
        <v>1E-3</v>
      </c>
      <c r="I2156" s="1">
        <v>1E-3</v>
      </c>
      <c r="J2156" s="1">
        <v>0.34439999999999998</v>
      </c>
    </row>
    <row r="2157" spans="1:10" x14ac:dyDescent="0.2">
      <c r="A2157" t="str">
        <f>"11/12/2017"</f>
        <v>11/12/2017</v>
      </c>
      <c r="B2157">
        <v>1</v>
      </c>
      <c r="C2157">
        <v>83000</v>
      </c>
      <c r="D2157">
        <v>212549</v>
      </c>
      <c r="E2157">
        <v>83000</v>
      </c>
      <c r="F2157">
        <v>83000</v>
      </c>
      <c r="G2157" s="1">
        <v>1E-3</v>
      </c>
      <c r="H2157" s="1">
        <v>1E-3</v>
      </c>
      <c r="I2157" s="1">
        <v>1E-3</v>
      </c>
      <c r="J2157" s="1">
        <v>0.33439999999999998</v>
      </c>
    </row>
    <row r="2158" spans="1:10" x14ac:dyDescent="0.2">
      <c r="A2158" t="str">
        <f>"10/12/2017"</f>
        <v>10/12/2017</v>
      </c>
      <c r="B2158">
        <v>1</v>
      </c>
      <c r="C2158">
        <v>83000</v>
      </c>
      <c r="D2158">
        <v>217650</v>
      </c>
      <c r="E2158">
        <v>83000</v>
      </c>
      <c r="F2158">
        <v>83000</v>
      </c>
      <c r="G2158" s="1">
        <v>1E-3</v>
      </c>
      <c r="H2158" s="1">
        <v>1E-3</v>
      </c>
      <c r="I2158" s="1">
        <v>1E-3</v>
      </c>
      <c r="J2158" s="1">
        <v>0.33</v>
      </c>
    </row>
    <row r="2159" spans="1:10" x14ac:dyDescent="0.2">
      <c r="A2159" t="str">
        <f>"07/12/2017"</f>
        <v>07/12/2017</v>
      </c>
      <c r="B2159">
        <v>3</v>
      </c>
      <c r="C2159">
        <v>83000</v>
      </c>
      <c r="D2159">
        <v>218524</v>
      </c>
      <c r="E2159">
        <v>83000</v>
      </c>
      <c r="F2159">
        <v>83000</v>
      </c>
      <c r="G2159" s="1">
        <v>1E-3</v>
      </c>
      <c r="H2159" s="1">
        <v>1E-3</v>
      </c>
      <c r="I2159" s="1">
        <v>1E-3</v>
      </c>
      <c r="J2159" s="1">
        <v>0.32619999999999999</v>
      </c>
    </row>
    <row r="2160" spans="1:10" x14ac:dyDescent="0.2">
      <c r="A2160" t="str">
        <f>"06/12/2017"</f>
        <v>06/12/2017</v>
      </c>
      <c r="B2160">
        <v>1</v>
      </c>
      <c r="C2160">
        <v>83000</v>
      </c>
      <c r="D2160">
        <v>217576</v>
      </c>
      <c r="E2160">
        <v>83000</v>
      </c>
      <c r="F2160">
        <v>83000</v>
      </c>
      <c r="G2160" s="1">
        <v>1E-3</v>
      </c>
      <c r="H2160" s="1">
        <v>1E-3</v>
      </c>
      <c r="I2160" s="1">
        <v>1E-3</v>
      </c>
      <c r="J2160" s="1">
        <v>0.32050000000000001</v>
      </c>
    </row>
    <row r="2161" spans="1:10" x14ac:dyDescent="0.2">
      <c r="A2161" t="str">
        <f>"05/12/2017"</f>
        <v>05/12/2017</v>
      </c>
      <c r="B2161">
        <v>1</v>
      </c>
      <c r="C2161">
        <v>85000</v>
      </c>
      <c r="D2161">
        <v>181566</v>
      </c>
      <c r="E2161">
        <v>85000</v>
      </c>
      <c r="F2161">
        <v>85000</v>
      </c>
      <c r="G2161" s="1">
        <v>1E-3</v>
      </c>
      <c r="H2161" s="1">
        <v>1E-3</v>
      </c>
      <c r="I2161" s="1">
        <v>1E-3</v>
      </c>
      <c r="J2161" s="1">
        <v>0.40920000000000001</v>
      </c>
    </row>
    <row r="2162" spans="1:10" x14ac:dyDescent="0.2">
      <c r="A2162" t="str">
        <f>"04/12/2017"</f>
        <v>04/12/2017</v>
      </c>
      <c r="B2162">
        <v>1</v>
      </c>
      <c r="C2162">
        <v>84000</v>
      </c>
      <c r="D2162">
        <v>156583</v>
      </c>
      <c r="E2162">
        <v>84000</v>
      </c>
      <c r="F2162">
        <v>84000</v>
      </c>
      <c r="G2162" s="1">
        <v>1E-3</v>
      </c>
      <c r="H2162" s="1">
        <v>1E-3</v>
      </c>
      <c r="I2162" s="1">
        <v>1E-3</v>
      </c>
      <c r="J2162" s="1">
        <v>0.47939999999999999</v>
      </c>
    </row>
    <row r="2163" spans="1:10" x14ac:dyDescent="0.2">
      <c r="A2163" t="str">
        <f>"03/12/2017"</f>
        <v>03/12/2017</v>
      </c>
      <c r="B2163">
        <v>1</v>
      </c>
      <c r="C2163">
        <v>81000</v>
      </c>
      <c r="D2163">
        <v>127439</v>
      </c>
      <c r="E2163">
        <v>81000</v>
      </c>
      <c r="F2163">
        <v>81000</v>
      </c>
      <c r="G2163" s="1">
        <v>1E-3</v>
      </c>
      <c r="H2163" s="1">
        <v>1E-3</v>
      </c>
      <c r="I2163" s="1">
        <v>1E-3</v>
      </c>
      <c r="J2163" s="1">
        <v>0.58040000000000003</v>
      </c>
    </row>
    <row r="2164" spans="1:10" x14ac:dyDescent="0.2">
      <c r="A2164" t="str">
        <f>"30/11/2017"</f>
        <v>30/11/2017</v>
      </c>
      <c r="B2164">
        <v>3</v>
      </c>
      <c r="C2164">
        <v>77000</v>
      </c>
      <c r="D2164">
        <v>102432</v>
      </c>
      <c r="E2164">
        <v>77000</v>
      </c>
      <c r="F2164">
        <v>77000</v>
      </c>
      <c r="G2164" s="1">
        <v>1E-3</v>
      </c>
      <c r="H2164" s="1">
        <v>1E-3</v>
      </c>
      <c r="I2164" s="1">
        <v>1E-3</v>
      </c>
      <c r="J2164" s="1">
        <v>0.70669999999999999</v>
      </c>
    </row>
    <row r="2165" spans="1:10" x14ac:dyDescent="0.2">
      <c r="A2165" t="str">
        <f>"29/11/2017"</f>
        <v>29/11/2017</v>
      </c>
      <c r="B2165">
        <v>1</v>
      </c>
      <c r="C2165">
        <v>68000</v>
      </c>
      <c r="D2165">
        <v>62524</v>
      </c>
      <c r="E2165">
        <v>62524</v>
      </c>
      <c r="F2165">
        <v>62524</v>
      </c>
      <c r="G2165" s="1">
        <v>1E-3</v>
      </c>
      <c r="H2165" s="1">
        <v>1E-3</v>
      </c>
      <c r="I2165" s="1">
        <v>1E-3</v>
      </c>
      <c r="J2165" s="1">
        <v>1</v>
      </c>
    </row>
    <row r="2166" spans="1:10" x14ac:dyDescent="0.2">
      <c r="A2166" t="str">
        <f>"28/11/2017"</f>
        <v>28/11/2017</v>
      </c>
      <c r="B2166">
        <v>1</v>
      </c>
      <c r="C2166">
        <v>67000</v>
      </c>
      <c r="D2166">
        <v>124879</v>
      </c>
      <c r="E2166">
        <v>67000</v>
      </c>
      <c r="F2166">
        <v>67000</v>
      </c>
      <c r="G2166" s="1">
        <v>1E-3</v>
      </c>
      <c r="H2166" s="1">
        <v>1E-3</v>
      </c>
      <c r="I2166" s="1">
        <v>1E-3</v>
      </c>
      <c r="J2166" s="1">
        <v>0.42849999999999999</v>
      </c>
    </row>
    <row r="2167" spans="1:10" x14ac:dyDescent="0.2">
      <c r="A2167" t="str">
        <f>"27/11/2017"</f>
        <v>27/11/2017</v>
      </c>
      <c r="B2167">
        <v>1</v>
      </c>
      <c r="C2167">
        <v>65000</v>
      </c>
      <c r="D2167">
        <v>137600</v>
      </c>
      <c r="E2167">
        <v>65000</v>
      </c>
      <c r="F2167">
        <v>65000</v>
      </c>
      <c r="G2167" s="1">
        <v>1E-3</v>
      </c>
      <c r="H2167" s="1">
        <v>1E-3</v>
      </c>
      <c r="I2167" s="1">
        <v>1E-3</v>
      </c>
      <c r="J2167" s="1">
        <v>0.40050000000000002</v>
      </c>
    </row>
    <row r="2168" spans="1:10" x14ac:dyDescent="0.2">
      <c r="A2168" t="str">
        <f>"26/11/2017"</f>
        <v>26/11/2017</v>
      </c>
      <c r="B2168">
        <v>1</v>
      </c>
      <c r="C2168">
        <v>66000</v>
      </c>
      <c r="D2168">
        <v>147948</v>
      </c>
      <c r="E2168">
        <v>66000</v>
      </c>
      <c r="F2168">
        <v>66000</v>
      </c>
      <c r="G2168" s="1">
        <v>1E-3</v>
      </c>
      <c r="H2168" s="1">
        <v>1E-3</v>
      </c>
      <c r="I2168" s="1">
        <v>1E-3</v>
      </c>
      <c r="J2168" s="1">
        <v>0.38590000000000002</v>
      </c>
    </row>
    <row r="2169" spans="1:10" x14ac:dyDescent="0.2">
      <c r="A2169" t="str">
        <f>"23/11/2017"</f>
        <v>23/11/2017</v>
      </c>
      <c r="B2169">
        <v>3</v>
      </c>
      <c r="C2169">
        <v>66000</v>
      </c>
      <c r="D2169">
        <v>153691</v>
      </c>
      <c r="E2169">
        <v>66000</v>
      </c>
      <c r="F2169">
        <v>66000</v>
      </c>
      <c r="G2169" s="1">
        <v>1E-3</v>
      </c>
      <c r="H2169" s="1">
        <v>1E-3</v>
      </c>
      <c r="I2169" s="1">
        <v>1E-3</v>
      </c>
      <c r="J2169" s="1">
        <v>0.36720000000000003</v>
      </c>
    </row>
    <row r="2170" spans="1:10" x14ac:dyDescent="0.2">
      <c r="A2170" t="str">
        <f>"22/11/2017"</f>
        <v>22/11/2017</v>
      </c>
      <c r="B2170">
        <v>1</v>
      </c>
      <c r="C2170">
        <v>67000</v>
      </c>
      <c r="D2170">
        <v>156935</v>
      </c>
      <c r="E2170">
        <v>67000</v>
      </c>
      <c r="F2170">
        <v>67000</v>
      </c>
      <c r="G2170" s="1">
        <v>1E-3</v>
      </c>
      <c r="H2170" s="1">
        <v>1E-3</v>
      </c>
      <c r="I2170" s="1">
        <v>1E-3</v>
      </c>
      <c r="J2170" s="1">
        <v>0.36580000000000001</v>
      </c>
    </row>
    <row r="2171" spans="1:10" x14ac:dyDescent="0.2">
      <c r="A2171" t="str">
        <f>"21/11/2017"</f>
        <v>21/11/2017</v>
      </c>
      <c r="B2171">
        <v>1</v>
      </c>
      <c r="C2171">
        <v>67000</v>
      </c>
      <c r="D2171">
        <v>152034</v>
      </c>
      <c r="E2171">
        <v>67000</v>
      </c>
      <c r="F2171">
        <v>67000</v>
      </c>
      <c r="G2171" s="1">
        <v>1E-3</v>
      </c>
      <c r="H2171" s="1">
        <v>1E-3</v>
      </c>
      <c r="I2171" s="1">
        <v>1E-3</v>
      </c>
      <c r="J2171" s="1">
        <v>0.38279999999999997</v>
      </c>
    </row>
    <row r="2172" spans="1:10" x14ac:dyDescent="0.2">
      <c r="A2172" t="str">
        <f>"20/11/2017"</f>
        <v>20/11/2017</v>
      </c>
      <c r="B2172">
        <v>1</v>
      </c>
      <c r="C2172">
        <v>68000</v>
      </c>
      <c r="D2172">
        <v>155041</v>
      </c>
      <c r="E2172">
        <v>68000</v>
      </c>
      <c r="F2172">
        <v>68000</v>
      </c>
      <c r="G2172" s="1">
        <v>1E-3</v>
      </c>
      <c r="H2172" s="1">
        <v>1E-3</v>
      </c>
      <c r="I2172" s="1">
        <v>1E-3</v>
      </c>
      <c r="J2172" s="1">
        <v>0.38579999999999998</v>
      </c>
    </row>
    <row r="2173" spans="1:10" x14ac:dyDescent="0.2">
      <c r="A2173" t="str">
        <f>"19/11/2017"</f>
        <v>19/11/2017</v>
      </c>
      <c r="B2173">
        <v>1</v>
      </c>
      <c r="C2173">
        <v>71000</v>
      </c>
      <c r="D2173">
        <v>166685</v>
      </c>
      <c r="E2173">
        <v>71000</v>
      </c>
      <c r="F2173">
        <v>71000</v>
      </c>
      <c r="G2173" s="1">
        <v>1E-3</v>
      </c>
      <c r="H2173" s="1">
        <v>1E-3</v>
      </c>
      <c r="I2173" s="1">
        <v>1E-3</v>
      </c>
      <c r="J2173" s="1">
        <v>0.3755</v>
      </c>
    </row>
    <row r="2174" spans="1:10" x14ac:dyDescent="0.2">
      <c r="A2174" t="str">
        <f>"16/11/2017"</f>
        <v>16/11/2017</v>
      </c>
      <c r="B2174">
        <v>3</v>
      </c>
      <c r="C2174">
        <v>72000</v>
      </c>
      <c r="D2174">
        <v>176605</v>
      </c>
      <c r="E2174">
        <v>72000</v>
      </c>
      <c r="F2174">
        <v>72000</v>
      </c>
      <c r="G2174" s="1">
        <v>1E-3</v>
      </c>
      <c r="H2174" s="1">
        <v>1E-3</v>
      </c>
      <c r="I2174" s="1">
        <v>1E-3</v>
      </c>
      <c r="J2174" s="1">
        <v>0.35070000000000001</v>
      </c>
    </row>
    <row r="2175" spans="1:10" x14ac:dyDescent="0.2">
      <c r="A2175" t="str">
        <f>"15/11/2017"</f>
        <v>15/11/2017</v>
      </c>
      <c r="B2175">
        <v>1</v>
      </c>
      <c r="C2175">
        <v>78000</v>
      </c>
      <c r="D2175">
        <v>204399</v>
      </c>
      <c r="E2175">
        <v>78000</v>
      </c>
      <c r="F2175">
        <v>78000</v>
      </c>
      <c r="G2175" s="1">
        <v>1E-3</v>
      </c>
      <c r="H2175" s="1">
        <v>1E-3</v>
      </c>
      <c r="I2175" s="1">
        <v>1E-3</v>
      </c>
      <c r="J2175" s="1">
        <v>0.32419999999999999</v>
      </c>
    </row>
    <row r="2176" spans="1:10" x14ac:dyDescent="0.2">
      <c r="A2176" t="str">
        <f>"14/11/2017"</f>
        <v>14/11/2017</v>
      </c>
      <c r="B2176">
        <v>1</v>
      </c>
      <c r="C2176">
        <v>78000</v>
      </c>
      <c r="D2176">
        <v>197826</v>
      </c>
      <c r="E2176">
        <v>78000</v>
      </c>
      <c r="F2176">
        <v>78000</v>
      </c>
      <c r="G2176" s="1">
        <v>1E-3</v>
      </c>
      <c r="H2176" s="1">
        <v>1E-3</v>
      </c>
      <c r="I2176" s="1">
        <v>1E-3</v>
      </c>
      <c r="J2176" s="1">
        <v>0.33989999999999998</v>
      </c>
    </row>
    <row r="2177" spans="1:10" x14ac:dyDescent="0.2">
      <c r="A2177" t="str">
        <f>"13/11/2017"</f>
        <v>13/11/2017</v>
      </c>
      <c r="B2177">
        <v>1</v>
      </c>
      <c r="C2177">
        <v>79000</v>
      </c>
      <c r="D2177">
        <v>197048</v>
      </c>
      <c r="E2177">
        <v>79000</v>
      </c>
      <c r="F2177">
        <v>79000</v>
      </c>
      <c r="G2177" s="1">
        <v>1E-3</v>
      </c>
      <c r="H2177" s="1">
        <v>1E-3</v>
      </c>
      <c r="I2177" s="1">
        <v>1E-3</v>
      </c>
      <c r="J2177" s="1">
        <v>0.35089999999999999</v>
      </c>
    </row>
    <row r="2178" spans="1:10" x14ac:dyDescent="0.2">
      <c r="A2178" t="str">
        <f>"12/11/2017"</f>
        <v>12/11/2017</v>
      </c>
      <c r="B2178">
        <v>1</v>
      </c>
      <c r="C2178">
        <v>79000</v>
      </c>
      <c r="D2178">
        <v>192132</v>
      </c>
      <c r="E2178">
        <v>79000</v>
      </c>
      <c r="F2178">
        <v>79000</v>
      </c>
      <c r="G2178" s="1">
        <v>1E-3</v>
      </c>
      <c r="H2178" s="1">
        <v>1E-3</v>
      </c>
      <c r="I2178" s="1">
        <v>1E-3</v>
      </c>
      <c r="J2178" s="1">
        <v>0.37109999999999999</v>
      </c>
    </row>
    <row r="2179" spans="1:10" x14ac:dyDescent="0.2">
      <c r="A2179" t="str">
        <f>"09/11/2017"</f>
        <v>09/11/2017</v>
      </c>
      <c r="B2179">
        <v>3</v>
      </c>
      <c r="C2179">
        <v>82000</v>
      </c>
      <c r="D2179">
        <v>202100</v>
      </c>
      <c r="E2179">
        <v>82000</v>
      </c>
      <c r="F2179">
        <v>82000</v>
      </c>
      <c r="G2179" s="1">
        <v>1E-3</v>
      </c>
      <c r="H2179" s="1">
        <v>1E-3</v>
      </c>
      <c r="I2179" s="1">
        <v>1E-3</v>
      </c>
      <c r="J2179" s="1">
        <v>0.34439999999999998</v>
      </c>
    </row>
    <row r="2180" spans="1:10" x14ac:dyDescent="0.2">
      <c r="A2180" t="str">
        <f>"08/11/2017"</f>
        <v>08/11/2017</v>
      </c>
      <c r="B2180">
        <v>1</v>
      </c>
      <c r="C2180">
        <v>82000</v>
      </c>
      <c r="D2180">
        <v>214402</v>
      </c>
      <c r="E2180">
        <v>82000</v>
      </c>
      <c r="F2180">
        <v>82000</v>
      </c>
      <c r="G2180" s="1">
        <v>1E-3</v>
      </c>
      <c r="H2180" s="1">
        <v>1E-3</v>
      </c>
      <c r="I2180" s="1">
        <v>1E-3</v>
      </c>
      <c r="J2180" s="1">
        <v>0.32419999999999999</v>
      </c>
    </row>
    <row r="2181" spans="1:10" x14ac:dyDescent="0.2">
      <c r="A2181" t="str">
        <f>"07/11/2017"</f>
        <v>07/11/2017</v>
      </c>
      <c r="B2181">
        <v>1</v>
      </c>
      <c r="C2181">
        <v>82000</v>
      </c>
      <c r="D2181">
        <v>216445</v>
      </c>
      <c r="E2181">
        <v>82000</v>
      </c>
      <c r="F2181">
        <v>82000</v>
      </c>
      <c r="G2181" s="1">
        <v>1E-3</v>
      </c>
      <c r="H2181" s="1">
        <v>1E-3</v>
      </c>
      <c r="I2181" s="1">
        <v>1E-3</v>
      </c>
      <c r="J2181" s="1">
        <v>0.3155</v>
      </c>
    </row>
    <row r="2182" spans="1:10" x14ac:dyDescent="0.2">
      <c r="A2182" t="str">
        <f>"06/11/2017"</f>
        <v>06/11/2017</v>
      </c>
      <c r="B2182">
        <v>1</v>
      </c>
      <c r="C2182">
        <v>82000</v>
      </c>
      <c r="D2182">
        <v>211052</v>
      </c>
      <c r="E2182">
        <v>82000</v>
      </c>
      <c r="F2182">
        <v>82000</v>
      </c>
      <c r="G2182" s="1">
        <v>1E-3</v>
      </c>
      <c r="H2182" s="1">
        <v>1E-3</v>
      </c>
      <c r="I2182" s="1">
        <v>1E-3</v>
      </c>
      <c r="J2182" s="1">
        <v>0.3271</v>
      </c>
    </row>
    <row r="2183" spans="1:10" x14ac:dyDescent="0.2">
      <c r="A2183" t="str">
        <f>"05/11/2017"</f>
        <v>05/11/2017</v>
      </c>
      <c r="B2183">
        <v>1</v>
      </c>
      <c r="C2183">
        <v>82000</v>
      </c>
      <c r="D2183">
        <v>220426</v>
      </c>
      <c r="E2183">
        <v>82000</v>
      </c>
      <c r="F2183">
        <v>82000</v>
      </c>
      <c r="G2183" s="1">
        <v>1E-3</v>
      </c>
      <c r="H2183" s="1">
        <v>1E-3</v>
      </c>
      <c r="I2183" s="1">
        <v>1E-3</v>
      </c>
      <c r="J2183" s="1">
        <v>0.31609999999999999</v>
      </c>
    </row>
    <row r="2184" spans="1:10" x14ac:dyDescent="0.2">
      <c r="A2184" t="str">
        <f>"02/11/2017"</f>
        <v>02/11/2017</v>
      </c>
      <c r="B2184">
        <v>3</v>
      </c>
      <c r="C2184">
        <v>82000</v>
      </c>
      <c r="D2184">
        <v>222764</v>
      </c>
      <c r="E2184">
        <v>82000</v>
      </c>
      <c r="F2184">
        <v>82000</v>
      </c>
      <c r="G2184" s="1">
        <v>1E-3</v>
      </c>
      <c r="H2184" s="1">
        <v>1E-3</v>
      </c>
      <c r="I2184" s="1">
        <v>1E-3</v>
      </c>
      <c r="J2184" s="1">
        <v>0.3115</v>
      </c>
    </row>
    <row r="2185" spans="1:10" x14ac:dyDescent="0.2">
      <c r="A2185" t="str">
        <f>"01/11/2017"</f>
        <v>01/11/2017</v>
      </c>
      <c r="B2185">
        <v>1</v>
      </c>
      <c r="C2185">
        <v>77000</v>
      </c>
      <c r="D2185">
        <v>212802</v>
      </c>
      <c r="E2185">
        <v>77000</v>
      </c>
      <c r="F2185">
        <v>77000</v>
      </c>
      <c r="G2185" s="1">
        <v>1E-3</v>
      </c>
      <c r="H2185" s="1">
        <v>1E-3</v>
      </c>
      <c r="I2185" s="1">
        <v>1E-3</v>
      </c>
      <c r="J2185" s="1">
        <v>0.28599999999999998</v>
      </c>
    </row>
    <row r="2186" spans="1:10" x14ac:dyDescent="0.2">
      <c r="A2186" t="str">
        <f>"31/10/2017"</f>
        <v>31/10/2017</v>
      </c>
      <c r="B2186">
        <v>1</v>
      </c>
      <c r="C2186">
        <v>72000</v>
      </c>
      <c r="D2186">
        <v>194804</v>
      </c>
      <c r="E2186">
        <v>72000</v>
      </c>
      <c r="F2186">
        <v>72000</v>
      </c>
      <c r="G2186" s="1">
        <v>1E-3</v>
      </c>
      <c r="H2186" s="1">
        <v>1E-3</v>
      </c>
      <c r="I2186" s="1">
        <v>1E-3</v>
      </c>
      <c r="J2186" s="1">
        <v>0.30530000000000002</v>
      </c>
    </row>
    <row r="2187" spans="1:10" x14ac:dyDescent="0.2">
      <c r="A2187" t="str">
        <f>"30/10/2017"</f>
        <v>30/10/2017</v>
      </c>
      <c r="B2187">
        <v>1</v>
      </c>
      <c r="C2187">
        <v>61000</v>
      </c>
      <c r="D2187">
        <v>155386</v>
      </c>
      <c r="E2187">
        <v>61000</v>
      </c>
      <c r="F2187">
        <v>61000</v>
      </c>
      <c r="G2187" s="1">
        <v>1E-3</v>
      </c>
      <c r="H2187" s="1">
        <v>1E-3</v>
      </c>
      <c r="I2187" s="1">
        <v>1E-3</v>
      </c>
      <c r="J2187" s="1">
        <v>0.32600000000000001</v>
      </c>
    </row>
    <row r="2188" spans="1:10" x14ac:dyDescent="0.2">
      <c r="A2188" t="str">
        <f>"29/10/2017"</f>
        <v>29/10/2017</v>
      </c>
      <c r="B2188">
        <v>1</v>
      </c>
      <c r="C2188">
        <v>61000</v>
      </c>
      <c r="D2188">
        <v>145709</v>
      </c>
      <c r="E2188">
        <v>61000</v>
      </c>
      <c r="F2188">
        <v>61000</v>
      </c>
      <c r="G2188" s="1">
        <v>1E-3</v>
      </c>
      <c r="H2188" s="1">
        <v>1E-3</v>
      </c>
      <c r="I2188" s="1">
        <v>1E-3</v>
      </c>
      <c r="J2188" s="1">
        <v>0.34510000000000002</v>
      </c>
    </row>
    <row r="2189" spans="1:10" x14ac:dyDescent="0.2">
      <c r="A2189" t="str">
        <f>"26/10/2017"</f>
        <v>26/10/2017</v>
      </c>
      <c r="B2189">
        <v>3</v>
      </c>
      <c r="C2189">
        <v>58000</v>
      </c>
      <c r="D2189">
        <v>133243</v>
      </c>
      <c r="E2189">
        <v>58000</v>
      </c>
      <c r="F2189">
        <v>58000</v>
      </c>
      <c r="G2189" s="1">
        <v>1E-3</v>
      </c>
      <c r="H2189" s="1">
        <v>1E-3</v>
      </c>
      <c r="I2189" s="1">
        <v>1E-3</v>
      </c>
      <c r="J2189" s="1">
        <v>0.35980000000000001</v>
      </c>
    </row>
    <row r="2190" spans="1:10" x14ac:dyDescent="0.2">
      <c r="A2190" t="str">
        <f>"25/10/2017"</f>
        <v>25/10/2017</v>
      </c>
      <c r="B2190">
        <v>1</v>
      </c>
      <c r="C2190">
        <v>58000</v>
      </c>
      <c r="D2190">
        <v>138068</v>
      </c>
      <c r="E2190">
        <v>58000</v>
      </c>
      <c r="F2190">
        <v>58000</v>
      </c>
      <c r="G2190" s="1">
        <v>1E-3</v>
      </c>
      <c r="H2190" s="1">
        <v>1E-3</v>
      </c>
      <c r="I2190" s="1">
        <v>1E-3</v>
      </c>
      <c r="J2190" s="1">
        <v>0.35249999999999998</v>
      </c>
    </row>
    <row r="2191" spans="1:10" x14ac:dyDescent="0.2">
      <c r="A2191" t="str">
        <f>"24/10/2017"</f>
        <v>24/10/2017</v>
      </c>
      <c r="B2191">
        <v>1</v>
      </c>
      <c r="C2191">
        <v>58000</v>
      </c>
      <c r="D2191">
        <v>128619</v>
      </c>
      <c r="E2191">
        <v>58000</v>
      </c>
      <c r="F2191">
        <v>58000</v>
      </c>
      <c r="G2191" s="1">
        <v>1E-3</v>
      </c>
      <c r="H2191" s="1">
        <v>1E-3</v>
      </c>
      <c r="I2191" s="1">
        <v>1E-3</v>
      </c>
      <c r="J2191" s="1">
        <v>0.37540000000000001</v>
      </c>
    </row>
    <row r="2192" spans="1:10" x14ac:dyDescent="0.2">
      <c r="A2192" t="str">
        <f>"23/10/2017"</f>
        <v>23/10/2017</v>
      </c>
      <c r="B2192">
        <v>1</v>
      </c>
      <c r="C2192">
        <v>59000</v>
      </c>
      <c r="D2192">
        <v>114124</v>
      </c>
      <c r="E2192">
        <v>59000</v>
      </c>
      <c r="F2192">
        <v>59000</v>
      </c>
      <c r="G2192" s="1">
        <v>1E-3</v>
      </c>
      <c r="H2192" s="1">
        <v>1E-3</v>
      </c>
      <c r="I2192" s="1">
        <v>1E-3</v>
      </c>
      <c r="J2192" s="1">
        <v>0.4481</v>
      </c>
    </row>
    <row r="2193" spans="1:10" x14ac:dyDescent="0.2">
      <c r="A2193" t="str">
        <f>"22/10/2017"</f>
        <v>22/10/2017</v>
      </c>
      <c r="B2193">
        <v>1</v>
      </c>
      <c r="C2193">
        <v>60000</v>
      </c>
      <c r="D2193">
        <v>100093</v>
      </c>
      <c r="E2193">
        <v>60000</v>
      </c>
      <c r="F2193">
        <v>60000</v>
      </c>
      <c r="G2193" s="1">
        <v>1E-3</v>
      </c>
      <c r="H2193" s="1">
        <v>1E-3</v>
      </c>
      <c r="I2193" s="1">
        <v>1E-3</v>
      </c>
      <c r="J2193" s="1">
        <v>0.52580000000000005</v>
      </c>
    </row>
    <row r="2194" spans="1:10" x14ac:dyDescent="0.2">
      <c r="A2194" t="str">
        <f>"19/10/2017"</f>
        <v>19/10/2017</v>
      </c>
      <c r="B2194">
        <v>3</v>
      </c>
      <c r="C2194">
        <v>69000</v>
      </c>
      <c r="D2194">
        <v>98227</v>
      </c>
      <c r="E2194">
        <v>69000</v>
      </c>
      <c r="F2194">
        <v>69000</v>
      </c>
      <c r="G2194" s="1">
        <v>1E-3</v>
      </c>
      <c r="H2194" s="1">
        <v>1E-3</v>
      </c>
      <c r="I2194" s="1">
        <v>1E-3</v>
      </c>
      <c r="J2194" s="1">
        <v>0.64490000000000003</v>
      </c>
    </row>
    <row r="2195" spans="1:10" x14ac:dyDescent="0.2">
      <c r="A2195" t="str">
        <f>"18/10/2017"</f>
        <v>18/10/2017</v>
      </c>
      <c r="B2195">
        <v>1</v>
      </c>
      <c r="C2195">
        <v>72000</v>
      </c>
      <c r="D2195">
        <v>56745</v>
      </c>
      <c r="E2195">
        <v>56745</v>
      </c>
      <c r="F2195">
        <v>56745</v>
      </c>
      <c r="G2195" s="1">
        <v>1E-3</v>
      </c>
      <c r="H2195" s="1">
        <v>1E-3</v>
      </c>
      <c r="I2195" s="1">
        <v>1E-3</v>
      </c>
      <c r="J2195" s="1">
        <v>1</v>
      </c>
    </row>
    <row r="2196" spans="1:10" x14ac:dyDescent="0.2">
      <c r="A2196" t="str">
        <f>"17/10/2017"</f>
        <v>17/10/2017</v>
      </c>
      <c r="B2196">
        <v>1</v>
      </c>
      <c r="C2196">
        <v>73000</v>
      </c>
      <c r="D2196">
        <v>128971</v>
      </c>
      <c r="E2196">
        <v>73000</v>
      </c>
      <c r="F2196">
        <v>73000</v>
      </c>
      <c r="G2196" s="1">
        <v>1E-3</v>
      </c>
      <c r="H2196" s="1">
        <v>1E-3</v>
      </c>
      <c r="I2196" s="1">
        <v>1E-3</v>
      </c>
      <c r="J2196" s="1">
        <v>0.49159999999999998</v>
      </c>
    </row>
    <row r="2197" spans="1:10" x14ac:dyDescent="0.2">
      <c r="A2197" t="str">
        <f>"16/10/2017"</f>
        <v>16/10/2017</v>
      </c>
      <c r="B2197">
        <v>1</v>
      </c>
      <c r="C2197">
        <v>75000</v>
      </c>
      <c r="D2197">
        <v>137846</v>
      </c>
      <c r="E2197">
        <v>75000</v>
      </c>
      <c r="F2197">
        <v>75000</v>
      </c>
      <c r="G2197" s="1">
        <v>1E-3</v>
      </c>
      <c r="H2197" s="1">
        <v>1E-3</v>
      </c>
      <c r="I2197" s="1">
        <v>1E-3</v>
      </c>
      <c r="J2197" s="1">
        <v>0.47449999999999998</v>
      </c>
    </row>
    <row r="2198" spans="1:10" x14ac:dyDescent="0.2">
      <c r="A2198" t="str">
        <f>"15/10/2017"</f>
        <v>15/10/2017</v>
      </c>
      <c r="B2198">
        <v>1</v>
      </c>
      <c r="C2198">
        <v>76000</v>
      </c>
      <c r="D2198">
        <v>152418</v>
      </c>
      <c r="E2198">
        <v>76000</v>
      </c>
      <c r="F2198">
        <v>76000</v>
      </c>
      <c r="G2198" s="1">
        <v>1E-3</v>
      </c>
      <c r="H2198" s="1">
        <v>1E-3</v>
      </c>
      <c r="I2198" s="1">
        <v>1E-3</v>
      </c>
      <c r="J2198" s="1">
        <v>0.4234</v>
      </c>
    </row>
    <row r="2199" spans="1:10" x14ac:dyDescent="0.2">
      <c r="A2199" t="str">
        <f>"10/10/2017"</f>
        <v>10/10/2017</v>
      </c>
      <c r="B2199">
        <v>5</v>
      </c>
      <c r="C2199">
        <v>78000</v>
      </c>
      <c r="D2199">
        <v>166757</v>
      </c>
      <c r="E2199">
        <v>78000</v>
      </c>
      <c r="F2199">
        <v>78000</v>
      </c>
      <c r="G2199" s="1">
        <v>1E-3</v>
      </c>
      <c r="H2199" s="1">
        <v>1E-3</v>
      </c>
      <c r="I2199" s="1">
        <v>1E-3</v>
      </c>
      <c r="J2199" s="1">
        <v>0.3921</v>
      </c>
    </row>
    <row r="2200" spans="1:10" x14ac:dyDescent="0.2">
      <c r="A2200" t="str">
        <f>"09/10/2017"</f>
        <v>09/10/2017</v>
      </c>
      <c r="B2200">
        <v>1</v>
      </c>
      <c r="C2200">
        <v>79000</v>
      </c>
      <c r="D2200">
        <v>175397</v>
      </c>
      <c r="E2200">
        <v>79000</v>
      </c>
      <c r="F2200">
        <v>79000</v>
      </c>
      <c r="G2200" s="1">
        <v>1E-3</v>
      </c>
      <c r="H2200" s="1">
        <v>1E-3</v>
      </c>
      <c r="I2200" s="1">
        <v>1E-3</v>
      </c>
      <c r="J2200" s="1">
        <v>0.38200000000000001</v>
      </c>
    </row>
    <row r="2201" spans="1:10" x14ac:dyDescent="0.2">
      <c r="A2201" t="str">
        <f>"08/10/2017"</f>
        <v>08/10/2017</v>
      </c>
      <c r="B2201">
        <v>1</v>
      </c>
      <c r="C2201">
        <v>79000</v>
      </c>
      <c r="D2201">
        <v>169798</v>
      </c>
      <c r="E2201">
        <v>79000</v>
      </c>
      <c r="F2201">
        <v>79000</v>
      </c>
      <c r="G2201" s="1">
        <v>1E-3</v>
      </c>
      <c r="H2201" s="1">
        <v>1E-3</v>
      </c>
      <c r="I2201" s="1">
        <v>1E-3</v>
      </c>
      <c r="J2201" s="1">
        <v>0.39829999999999999</v>
      </c>
    </row>
    <row r="2202" spans="1:10" x14ac:dyDescent="0.2">
      <c r="A2202" t="str">
        <f>"03/10/2017"</f>
        <v>03/10/2017</v>
      </c>
      <c r="B2202">
        <v>5</v>
      </c>
      <c r="C2202">
        <v>78000</v>
      </c>
      <c r="D2202">
        <v>169631</v>
      </c>
      <c r="E2202">
        <v>78000</v>
      </c>
      <c r="F2202">
        <v>78000</v>
      </c>
      <c r="G2202" s="1">
        <v>1E-3</v>
      </c>
      <c r="H2202" s="1">
        <v>1E-3</v>
      </c>
      <c r="I2202" s="1">
        <v>1E-3</v>
      </c>
      <c r="J2202" s="1">
        <v>0.39240000000000003</v>
      </c>
    </row>
    <row r="2203" spans="1:10" x14ac:dyDescent="0.2">
      <c r="A2203" t="str">
        <f>"02/10/2017"</f>
        <v>02/10/2017</v>
      </c>
      <c r="B2203">
        <v>1</v>
      </c>
      <c r="C2203">
        <v>75000</v>
      </c>
      <c r="D2203">
        <v>155697</v>
      </c>
      <c r="E2203">
        <v>75000</v>
      </c>
      <c r="F2203">
        <v>75000</v>
      </c>
      <c r="G2203" s="1">
        <v>1E-3</v>
      </c>
      <c r="H2203" s="1">
        <v>1E-3</v>
      </c>
      <c r="I2203" s="1">
        <v>1E-3</v>
      </c>
      <c r="J2203" s="1">
        <v>0.40629999999999999</v>
      </c>
    </row>
    <row r="2204" spans="1:10" x14ac:dyDescent="0.2">
      <c r="A2204" t="str">
        <f>"01/10/2017"</f>
        <v>01/10/2017</v>
      </c>
      <c r="B2204">
        <v>1</v>
      </c>
      <c r="C2204">
        <v>76000</v>
      </c>
      <c r="D2204">
        <v>169982</v>
      </c>
      <c r="E2204">
        <v>76000</v>
      </c>
      <c r="F2204">
        <v>76000</v>
      </c>
      <c r="G2204" s="1">
        <v>1E-3</v>
      </c>
      <c r="H2204" s="1">
        <v>1E-3</v>
      </c>
      <c r="I2204" s="1">
        <v>1E-3</v>
      </c>
      <c r="J2204" s="1">
        <v>0.38250000000000001</v>
      </c>
    </row>
    <row r="2205" spans="1:10" x14ac:dyDescent="0.2">
      <c r="A2205" t="str">
        <f>"28/09/2017"</f>
        <v>28/09/2017</v>
      </c>
      <c r="B2205">
        <v>3</v>
      </c>
      <c r="C2205">
        <v>70000</v>
      </c>
      <c r="D2205">
        <v>160270</v>
      </c>
      <c r="E2205">
        <v>70000</v>
      </c>
      <c r="F2205">
        <v>70000</v>
      </c>
      <c r="G2205" s="1">
        <v>1E-3</v>
      </c>
      <c r="H2205" s="1">
        <v>1E-3</v>
      </c>
      <c r="I2205" s="1">
        <v>1E-3</v>
      </c>
      <c r="J2205" s="1">
        <v>0.37090000000000001</v>
      </c>
    </row>
    <row r="2206" spans="1:10" x14ac:dyDescent="0.2">
      <c r="A2206" t="str">
        <f>"27/09/2017"</f>
        <v>27/09/2017</v>
      </c>
      <c r="B2206">
        <v>1</v>
      </c>
      <c r="C2206">
        <v>70000</v>
      </c>
      <c r="D2206">
        <v>151361</v>
      </c>
      <c r="E2206">
        <v>70000</v>
      </c>
      <c r="F2206">
        <v>70000</v>
      </c>
      <c r="G2206" s="1">
        <v>1E-3</v>
      </c>
      <c r="H2206" s="1">
        <v>1E-3</v>
      </c>
      <c r="I2206" s="1">
        <v>1E-3</v>
      </c>
      <c r="J2206" s="1">
        <v>0.38640000000000002</v>
      </c>
    </row>
    <row r="2207" spans="1:10" x14ac:dyDescent="0.2">
      <c r="A2207" t="str">
        <f>"26/09/2017"</f>
        <v>26/09/2017</v>
      </c>
      <c r="B2207">
        <v>1</v>
      </c>
      <c r="C2207">
        <v>68000</v>
      </c>
      <c r="D2207">
        <v>160005</v>
      </c>
      <c r="E2207">
        <v>68000</v>
      </c>
      <c r="F2207">
        <v>68000</v>
      </c>
      <c r="G2207" s="1">
        <v>1E-3</v>
      </c>
      <c r="H2207" s="1">
        <v>1E-3</v>
      </c>
      <c r="I2207" s="1">
        <v>1E-3</v>
      </c>
      <c r="J2207" s="1">
        <v>0.34849999999999998</v>
      </c>
    </row>
    <row r="2208" spans="1:10" x14ac:dyDescent="0.2">
      <c r="A2208" t="str">
        <f>"25/09/2017"</f>
        <v>25/09/2017</v>
      </c>
      <c r="B2208">
        <v>1</v>
      </c>
      <c r="C2208">
        <v>71000</v>
      </c>
      <c r="D2208">
        <v>170036</v>
      </c>
      <c r="E2208">
        <v>71000</v>
      </c>
      <c r="F2208">
        <v>71000</v>
      </c>
      <c r="G2208" s="1">
        <v>1E-3</v>
      </c>
      <c r="H2208" s="1">
        <v>1E-3</v>
      </c>
      <c r="I2208" s="1">
        <v>1E-3</v>
      </c>
      <c r="J2208" s="1">
        <v>0.34089999999999998</v>
      </c>
    </row>
    <row r="2209" spans="1:10" x14ac:dyDescent="0.2">
      <c r="A2209" t="str">
        <f>"24/09/2017"</f>
        <v>24/09/2017</v>
      </c>
      <c r="B2209">
        <v>1</v>
      </c>
      <c r="C2209">
        <v>72000</v>
      </c>
      <c r="D2209">
        <v>179526</v>
      </c>
      <c r="E2209">
        <v>72000</v>
      </c>
      <c r="F2209">
        <v>72000</v>
      </c>
      <c r="G2209" s="1">
        <v>1E-3</v>
      </c>
      <c r="H2209" s="1">
        <v>1E-3</v>
      </c>
      <c r="I2209" s="1">
        <v>1E-3</v>
      </c>
      <c r="J2209" s="1">
        <v>0.3372</v>
      </c>
    </row>
    <row r="2210" spans="1:10" x14ac:dyDescent="0.2">
      <c r="A2210" t="str">
        <f>"19/09/2017"</f>
        <v>19/09/2017</v>
      </c>
      <c r="B2210">
        <v>5</v>
      </c>
      <c r="C2210">
        <v>74000</v>
      </c>
      <c r="D2210">
        <v>191960</v>
      </c>
      <c r="E2210">
        <v>74000</v>
      </c>
      <c r="F2210">
        <v>74000</v>
      </c>
      <c r="G2210" s="1">
        <v>1E-3</v>
      </c>
      <c r="H2210" s="1">
        <v>1E-3</v>
      </c>
      <c r="I2210" s="1">
        <v>1E-3</v>
      </c>
      <c r="J2210" s="1">
        <v>0.31890000000000002</v>
      </c>
    </row>
    <row r="2211" spans="1:10" x14ac:dyDescent="0.2">
      <c r="A2211" t="str">
        <f>"18/09/2017"</f>
        <v>18/09/2017</v>
      </c>
      <c r="B2211">
        <v>1</v>
      </c>
      <c r="C2211">
        <v>76000</v>
      </c>
      <c r="D2211">
        <v>199815</v>
      </c>
      <c r="E2211">
        <v>76000</v>
      </c>
      <c r="F2211">
        <v>76000</v>
      </c>
      <c r="G2211" s="1">
        <v>1E-3</v>
      </c>
      <c r="H2211" s="1">
        <v>1E-3</v>
      </c>
      <c r="I2211" s="1">
        <v>1E-3</v>
      </c>
      <c r="J2211" s="1">
        <v>0.31900000000000001</v>
      </c>
    </row>
    <row r="2212" spans="1:10" x14ac:dyDescent="0.2">
      <c r="A2212" t="str">
        <f>"17/09/2017"</f>
        <v>17/09/2017</v>
      </c>
      <c r="B2212">
        <v>1</v>
      </c>
      <c r="C2212">
        <v>77000</v>
      </c>
      <c r="D2212">
        <v>195339</v>
      </c>
      <c r="E2212">
        <v>77000</v>
      </c>
      <c r="F2212">
        <v>77000</v>
      </c>
      <c r="G2212" s="1">
        <v>1E-3</v>
      </c>
      <c r="H2212" s="1">
        <v>1E-3</v>
      </c>
      <c r="I2212" s="1">
        <v>1E-3</v>
      </c>
      <c r="J2212" s="1">
        <v>0.33889999999999998</v>
      </c>
    </row>
    <row r="2213" spans="1:10" x14ac:dyDescent="0.2">
      <c r="A2213" t="str">
        <f>"14/09/2017"</f>
        <v>14/09/2017</v>
      </c>
      <c r="B2213">
        <v>3</v>
      </c>
      <c r="C2213">
        <v>86000</v>
      </c>
      <c r="D2213">
        <v>227253</v>
      </c>
      <c r="E2213">
        <v>86000</v>
      </c>
      <c r="F2213">
        <v>86000</v>
      </c>
      <c r="G2213" s="1">
        <v>1E-3</v>
      </c>
      <c r="H2213" s="1">
        <v>1E-3</v>
      </c>
      <c r="I2213" s="1">
        <v>1E-3</v>
      </c>
      <c r="J2213" s="1">
        <v>0.31929999999999997</v>
      </c>
    </row>
    <row r="2214" spans="1:10" x14ac:dyDescent="0.2">
      <c r="A2214" t="str">
        <f>"13/09/2017"</f>
        <v>13/09/2017</v>
      </c>
      <c r="B2214">
        <v>1</v>
      </c>
      <c r="C2214">
        <v>87000</v>
      </c>
      <c r="D2214">
        <v>224502</v>
      </c>
      <c r="E2214">
        <v>87000</v>
      </c>
      <c r="F2214">
        <v>87000</v>
      </c>
      <c r="G2214" s="1">
        <v>1E-3</v>
      </c>
      <c r="H2214" s="1">
        <v>1E-3</v>
      </c>
      <c r="I2214" s="1">
        <v>1E-3</v>
      </c>
      <c r="J2214" s="1">
        <v>0.32179999999999997</v>
      </c>
    </row>
    <row r="2215" spans="1:10" x14ac:dyDescent="0.2">
      <c r="A2215" t="str">
        <f>"12/09/2017"</f>
        <v>12/09/2017</v>
      </c>
      <c r="B2215">
        <v>1</v>
      </c>
      <c r="C2215">
        <v>87000</v>
      </c>
      <c r="D2215">
        <v>228651</v>
      </c>
      <c r="E2215">
        <v>87000</v>
      </c>
      <c r="F2215">
        <v>87000</v>
      </c>
      <c r="G2215" s="1">
        <v>1E-3</v>
      </c>
      <c r="H2215" s="1">
        <v>1E-3</v>
      </c>
      <c r="I2215" s="1">
        <v>1E-3</v>
      </c>
      <c r="J2215" s="1">
        <v>0.3271</v>
      </c>
    </row>
    <row r="2216" spans="1:10" x14ac:dyDescent="0.2">
      <c r="A2216" t="str">
        <f>"11/09/2017"</f>
        <v>11/09/2017</v>
      </c>
      <c r="B2216">
        <v>1</v>
      </c>
      <c r="C2216">
        <v>88000</v>
      </c>
      <c r="D2216">
        <v>232579</v>
      </c>
      <c r="E2216">
        <v>88000</v>
      </c>
      <c r="F2216">
        <v>88000</v>
      </c>
      <c r="G2216" s="1">
        <v>1E-3</v>
      </c>
      <c r="H2216" s="1">
        <v>1E-3</v>
      </c>
      <c r="I2216" s="1">
        <v>1E-3</v>
      </c>
      <c r="J2216" s="1">
        <v>0.31900000000000001</v>
      </c>
    </row>
    <row r="2217" spans="1:10" x14ac:dyDescent="0.2">
      <c r="A2217" t="str">
        <f>"10/09/2017"</f>
        <v>10/09/2017</v>
      </c>
      <c r="B2217">
        <v>1</v>
      </c>
      <c r="C2217">
        <v>88000</v>
      </c>
      <c r="D2217">
        <v>224382</v>
      </c>
      <c r="E2217">
        <v>88000</v>
      </c>
      <c r="F2217">
        <v>88000</v>
      </c>
      <c r="G2217" s="1">
        <v>1E-3</v>
      </c>
      <c r="H2217" s="1">
        <v>1E-3</v>
      </c>
      <c r="I2217" s="1">
        <v>1E-3</v>
      </c>
      <c r="J2217" s="1">
        <v>0.33289999999999997</v>
      </c>
    </row>
    <row r="2218" spans="1:10" x14ac:dyDescent="0.2">
      <c r="A2218" t="str">
        <f>"07/09/2017"</f>
        <v>07/09/2017</v>
      </c>
      <c r="B2218">
        <v>3</v>
      </c>
      <c r="C2218">
        <v>89000</v>
      </c>
      <c r="D2218">
        <v>228709</v>
      </c>
      <c r="E2218">
        <v>89000</v>
      </c>
      <c r="F2218">
        <v>89000</v>
      </c>
      <c r="G2218" s="1">
        <v>1E-3</v>
      </c>
      <c r="H2218" s="1">
        <v>1E-3</v>
      </c>
      <c r="I2218" s="1">
        <v>1E-3</v>
      </c>
      <c r="J2218" s="1">
        <v>0.33100000000000002</v>
      </c>
    </row>
    <row r="2219" spans="1:10" x14ac:dyDescent="0.2">
      <c r="A2219" t="str">
        <f>"06/09/2017"</f>
        <v>06/09/2017</v>
      </c>
      <c r="B2219">
        <v>1</v>
      </c>
      <c r="C2219">
        <v>88000</v>
      </c>
      <c r="D2219">
        <v>216413</v>
      </c>
      <c r="E2219">
        <v>88000</v>
      </c>
      <c r="F2219">
        <v>88000</v>
      </c>
      <c r="G2219" s="1">
        <v>1E-3</v>
      </c>
      <c r="H2219" s="1">
        <v>1E-3</v>
      </c>
      <c r="I2219" s="1">
        <v>1E-3</v>
      </c>
      <c r="J2219" s="1">
        <v>0.3382</v>
      </c>
    </row>
    <row r="2220" spans="1:10" x14ac:dyDescent="0.2">
      <c r="A2220" t="str">
        <f>"05/09/2017"</f>
        <v>05/09/2017</v>
      </c>
      <c r="B2220">
        <v>1</v>
      </c>
      <c r="C2220">
        <v>86000</v>
      </c>
      <c r="D2220">
        <v>189721</v>
      </c>
      <c r="E2220">
        <v>86000</v>
      </c>
      <c r="F2220">
        <v>86000</v>
      </c>
      <c r="G2220" s="1">
        <v>1E-3</v>
      </c>
      <c r="H2220" s="1">
        <v>1E-3</v>
      </c>
      <c r="I2220" s="1">
        <v>1E-3</v>
      </c>
      <c r="J2220" s="1">
        <v>0.38540000000000002</v>
      </c>
    </row>
    <row r="2221" spans="1:10" x14ac:dyDescent="0.2">
      <c r="A2221" t="str">
        <f>"04/09/2017"</f>
        <v>04/09/2017</v>
      </c>
      <c r="B2221">
        <v>1</v>
      </c>
      <c r="C2221">
        <v>86000</v>
      </c>
      <c r="D2221">
        <v>161228</v>
      </c>
      <c r="E2221">
        <v>86000</v>
      </c>
      <c r="F2221">
        <v>86000</v>
      </c>
      <c r="G2221" s="1">
        <v>1E-3</v>
      </c>
      <c r="H2221" s="1">
        <v>1E-3</v>
      </c>
      <c r="I2221" s="1">
        <v>1E-3</v>
      </c>
      <c r="J2221" s="1">
        <v>0.4627</v>
      </c>
    </row>
    <row r="2222" spans="1:10" x14ac:dyDescent="0.2">
      <c r="A2222" t="str">
        <f>"03/09/2017"</f>
        <v>03/09/2017</v>
      </c>
      <c r="B2222">
        <v>1</v>
      </c>
      <c r="C2222">
        <v>85000</v>
      </c>
      <c r="D2222">
        <v>130648</v>
      </c>
      <c r="E2222">
        <v>85000</v>
      </c>
      <c r="F2222">
        <v>85000</v>
      </c>
      <c r="G2222" s="1">
        <v>1E-3</v>
      </c>
      <c r="H2222" s="1">
        <v>1E-3</v>
      </c>
      <c r="I2222" s="1">
        <v>1E-3</v>
      </c>
      <c r="J2222" s="1">
        <v>0.57669999999999999</v>
      </c>
    </row>
    <row r="2223" spans="1:10" x14ac:dyDescent="0.2">
      <c r="A2223" t="str">
        <f>"31/08/2017"</f>
        <v>31/08/2017</v>
      </c>
      <c r="B2223">
        <v>3</v>
      </c>
      <c r="C2223">
        <v>82000</v>
      </c>
      <c r="D2223">
        <v>110716</v>
      </c>
      <c r="E2223">
        <v>82000</v>
      </c>
      <c r="F2223">
        <v>82000</v>
      </c>
      <c r="G2223" s="1">
        <v>1E-3</v>
      </c>
      <c r="H2223" s="1">
        <v>1E-3</v>
      </c>
      <c r="I2223" s="1">
        <v>1E-3</v>
      </c>
      <c r="J2223" s="1">
        <v>0.69220000000000004</v>
      </c>
    </row>
    <row r="2224" spans="1:10" x14ac:dyDescent="0.2">
      <c r="A2224" t="str">
        <f>"30/08/2017"</f>
        <v>30/08/2017</v>
      </c>
      <c r="B2224">
        <v>1</v>
      </c>
      <c r="C2224">
        <v>66000</v>
      </c>
      <c r="D2224">
        <v>57807</v>
      </c>
      <c r="E2224">
        <v>57807</v>
      </c>
      <c r="F2224">
        <v>57807</v>
      </c>
      <c r="G2224" s="1">
        <v>1E-3</v>
      </c>
      <c r="H2224" s="1">
        <v>1E-3</v>
      </c>
      <c r="I2224" s="1">
        <v>1E-3</v>
      </c>
      <c r="J2224" s="1">
        <v>1</v>
      </c>
    </row>
    <row r="2225" spans="1:10" x14ac:dyDescent="0.2">
      <c r="A2225" t="str">
        <f>"29/08/2017"</f>
        <v>29/08/2017</v>
      </c>
      <c r="B2225">
        <v>1</v>
      </c>
      <c r="C2225">
        <v>67000</v>
      </c>
      <c r="D2225">
        <v>140478</v>
      </c>
      <c r="E2225">
        <v>67000</v>
      </c>
      <c r="F2225">
        <v>67000</v>
      </c>
      <c r="G2225" s="1">
        <v>1E-3</v>
      </c>
      <c r="H2225" s="1">
        <v>1E-3</v>
      </c>
      <c r="I2225" s="1">
        <v>1E-3</v>
      </c>
      <c r="J2225" s="1">
        <v>0.37890000000000001</v>
      </c>
    </row>
    <row r="2226" spans="1:10" x14ac:dyDescent="0.2">
      <c r="A2226" t="str">
        <f>"28/08/2017"</f>
        <v>28/08/2017</v>
      </c>
      <c r="B2226">
        <v>1</v>
      </c>
      <c r="C2226">
        <v>68000</v>
      </c>
      <c r="D2226">
        <v>160830</v>
      </c>
      <c r="E2226">
        <v>68000</v>
      </c>
      <c r="F2226">
        <v>68000</v>
      </c>
      <c r="G2226" s="1">
        <v>1E-3</v>
      </c>
      <c r="H2226" s="1">
        <v>1E-3</v>
      </c>
      <c r="I2226" s="1">
        <v>1E-3</v>
      </c>
      <c r="J2226" s="1">
        <v>0.35620000000000002</v>
      </c>
    </row>
    <row r="2227" spans="1:10" x14ac:dyDescent="0.2">
      <c r="A2227" t="str">
        <f>"27/08/2017"</f>
        <v>27/08/2017</v>
      </c>
      <c r="B2227">
        <v>1</v>
      </c>
      <c r="C2227">
        <v>65000</v>
      </c>
      <c r="D2227">
        <v>157253</v>
      </c>
      <c r="E2227">
        <v>65000</v>
      </c>
      <c r="F2227">
        <v>65000</v>
      </c>
      <c r="G2227" s="1">
        <v>1E-3</v>
      </c>
      <c r="H2227" s="1">
        <v>1E-3</v>
      </c>
      <c r="I2227" s="1">
        <v>1E-3</v>
      </c>
      <c r="J2227" s="1">
        <v>0.34599999999999997</v>
      </c>
    </row>
    <row r="2228" spans="1:10" x14ac:dyDescent="0.2">
      <c r="A2228" t="str">
        <f>"24/08/2017"</f>
        <v>24/08/2017</v>
      </c>
      <c r="B2228">
        <v>3</v>
      </c>
      <c r="C2228">
        <v>65000</v>
      </c>
      <c r="D2228">
        <v>158213</v>
      </c>
      <c r="E2228">
        <v>65000</v>
      </c>
      <c r="F2228">
        <v>65000</v>
      </c>
      <c r="G2228" s="1">
        <v>1E-3</v>
      </c>
      <c r="H2228" s="1">
        <v>1E-3</v>
      </c>
      <c r="I2228" s="1">
        <v>1E-3</v>
      </c>
      <c r="J2228" s="1">
        <v>0.33579999999999999</v>
      </c>
    </row>
    <row r="2229" spans="1:10" x14ac:dyDescent="0.2">
      <c r="A2229" t="str">
        <f>"23/08/2017"</f>
        <v>23/08/2017</v>
      </c>
      <c r="B2229">
        <v>1</v>
      </c>
      <c r="C2229">
        <v>65000</v>
      </c>
      <c r="D2229">
        <v>164268</v>
      </c>
      <c r="E2229">
        <v>65000</v>
      </c>
      <c r="F2229">
        <v>65000</v>
      </c>
      <c r="G2229" s="1">
        <v>1E-3</v>
      </c>
      <c r="H2229" s="1">
        <v>1E-3</v>
      </c>
      <c r="I2229" s="1">
        <v>1E-3</v>
      </c>
      <c r="J2229" s="1">
        <v>0.32590000000000002</v>
      </c>
    </row>
    <row r="2230" spans="1:10" x14ac:dyDescent="0.2">
      <c r="A2230" t="str">
        <f>"22/08/2017"</f>
        <v>22/08/2017</v>
      </c>
      <c r="B2230">
        <v>1</v>
      </c>
      <c r="C2230">
        <v>66000</v>
      </c>
      <c r="D2230">
        <v>162115</v>
      </c>
      <c r="E2230">
        <v>66000</v>
      </c>
      <c r="F2230">
        <v>66000</v>
      </c>
      <c r="G2230" s="1">
        <v>1E-3</v>
      </c>
      <c r="H2230" s="1">
        <v>1E-3</v>
      </c>
      <c r="I2230" s="1">
        <v>1E-3</v>
      </c>
      <c r="J2230" s="1">
        <v>0.3362</v>
      </c>
    </row>
    <row r="2231" spans="1:10" x14ac:dyDescent="0.2">
      <c r="A2231" t="str">
        <f>"21/08/2017"</f>
        <v>21/08/2017</v>
      </c>
      <c r="B2231">
        <v>1</v>
      </c>
      <c r="C2231">
        <v>67000</v>
      </c>
      <c r="D2231">
        <v>169832</v>
      </c>
      <c r="E2231">
        <v>67000</v>
      </c>
      <c r="F2231">
        <v>67000</v>
      </c>
      <c r="G2231" s="1">
        <v>1E-3</v>
      </c>
      <c r="H2231" s="1">
        <v>1E-3</v>
      </c>
      <c r="I2231" s="1">
        <v>1E-3</v>
      </c>
      <c r="J2231" s="1">
        <v>0.32940000000000003</v>
      </c>
    </row>
    <row r="2232" spans="1:10" x14ac:dyDescent="0.2">
      <c r="A2232" t="str">
        <f>"20/08/2017"</f>
        <v>20/08/2017</v>
      </c>
      <c r="B2232">
        <v>1</v>
      </c>
      <c r="C2232">
        <v>67000</v>
      </c>
      <c r="D2232">
        <v>169690</v>
      </c>
      <c r="E2232">
        <v>67000</v>
      </c>
      <c r="F2232">
        <v>67000</v>
      </c>
      <c r="G2232" s="1">
        <v>1E-3</v>
      </c>
      <c r="H2232" s="1">
        <v>1E-3</v>
      </c>
      <c r="I2232" s="1">
        <v>1E-3</v>
      </c>
      <c r="J2232" s="1">
        <v>0.33329999999999999</v>
      </c>
    </row>
    <row r="2233" spans="1:10" x14ac:dyDescent="0.2">
      <c r="A2233" t="str">
        <f>"17/08/2017"</f>
        <v>17/08/2017</v>
      </c>
      <c r="B2233">
        <v>3</v>
      </c>
      <c r="C2233">
        <v>69000</v>
      </c>
      <c r="D2233">
        <v>175422</v>
      </c>
      <c r="E2233">
        <v>69000</v>
      </c>
      <c r="F2233">
        <v>69000</v>
      </c>
      <c r="G2233" s="1">
        <v>1E-3</v>
      </c>
      <c r="H2233" s="1">
        <v>1E-3</v>
      </c>
      <c r="I2233" s="1">
        <v>1E-3</v>
      </c>
      <c r="J2233" s="1">
        <v>0.3367</v>
      </c>
    </row>
    <row r="2234" spans="1:10" x14ac:dyDescent="0.2">
      <c r="A2234" t="str">
        <f>"16/08/2017"</f>
        <v>16/08/2017</v>
      </c>
      <c r="B2234">
        <v>1</v>
      </c>
      <c r="C2234">
        <v>71000</v>
      </c>
      <c r="D2234">
        <v>178283</v>
      </c>
      <c r="E2234">
        <v>71000</v>
      </c>
      <c r="F2234">
        <v>71000</v>
      </c>
      <c r="G2234" s="1">
        <v>1E-3</v>
      </c>
      <c r="H2234" s="1">
        <v>1E-3</v>
      </c>
      <c r="I2234" s="1">
        <v>1E-3</v>
      </c>
      <c r="J2234" s="1">
        <v>0.33779999999999999</v>
      </c>
    </row>
    <row r="2235" spans="1:10" x14ac:dyDescent="0.2">
      <c r="A2235" t="str">
        <f>"15/08/2017"</f>
        <v>15/08/2017</v>
      </c>
      <c r="B2235">
        <v>1</v>
      </c>
      <c r="C2235">
        <v>80000</v>
      </c>
      <c r="D2235">
        <v>208139</v>
      </c>
      <c r="E2235">
        <v>80000</v>
      </c>
      <c r="F2235">
        <v>80000</v>
      </c>
      <c r="G2235" s="1">
        <v>1E-3</v>
      </c>
      <c r="H2235" s="1">
        <v>1E-3</v>
      </c>
      <c r="I2235" s="1">
        <v>1E-3</v>
      </c>
      <c r="J2235" s="1">
        <v>0.3327</v>
      </c>
    </row>
    <row r="2236" spans="1:10" x14ac:dyDescent="0.2">
      <c r="A2236" t="str">
        <f>"14/08/2017"</f>
        <v>14/08/2017</v>
      </c>
      <c r="B2236">
        <v>1</v>
      </c>
      <c r="C2236">
        <v>81000</v>
      </c>
      <c r="D2236">
        <v>205378</v>
      </c>
      <c r="E2236">
        <v>81000</v>
      </c>
      <c r="F2236">
        <v>81000</v>
      </c>
      <c r="G2236" s="1">
        <v>1E-3</v>
      </c>
      <c r="H2236" s="1">
        <v>1E-3</v>
      </c>
      <c r="I2236" s="1">
        <v>1E-3</v>
      </c>
      <c r="J2236" s="1">
        <v>0.3387</v>
      </c>
    </row>
    <row r="2237" spans="1:10" x14ac:dyDescent="0.2">
      <c r="A2237" t="str">
        <f>"13/08/2017"</f>
        <v>13/08/2017</v>
      </c>
      <c r="B2237">
        <v>1</v>
      </c>
      <c r="C2237">
        <v>81000</v>
      </c>
      <c r="D2237">
        <v>208248</v>
      </c>
      <c r="E2237">
        <v>81000</v>
      </c>
      <c r="F2237">
        <v>81000</v>
      </c>
      <c r="G2237" s="1">
        <v>1E-3</v>
      </c>
      <c r="H2237" s="1">
        <v>1E-3</v>
      </c>
      <c r="I2237" s="1">
        <v>1E-3</v>
      </c>
      <c r="J2237" s="1">
        <v>0.33279999999999998</v>
      </c>
    </row>
    <row r="2238" spans="1:10" x14ac:dyDescent="0.2">
      <c r="A2238" t="str">
        <f>"10/08/2017"</f>
        <v>10/08/2017</v>
      </c>
      <c r="B2238">
        <v>3</v>
      </c>
      <c r="C2238">
        <v>82000</v>
      </c>
      <c r="D2238">
        <v>218150</v>
      </c>
      <c r="E2238">
        <v>82000</v>
      </c>
      <c r="F2238">
        <v>82000</v>
      </c>
      <c r="G2238" s="1">
        <v>1E-3</v>
      </c>
      <c r="H2238" s="1">
        <v>1E-3</v>
      </c>
      <c r="I2238" s="1">
        <v>1E-3</v>
      </c>
      <c r="J2238" s="1">
        <v>0.31490000000000001</v>
      </c>
    </row>
    <row r="2239" spans="1:10" x14ac:dyDescent="0.2">
      <c r="A2239" t="str">
        <f>"09/08/2017"</f>
        <v>09/08/2017</v>
      </c>
      <c r="B2239">
        <v>1</v>
      </c>
      <c r="C2239">
        <v>79000</v>
      </c>
      <c r="D2239">
        <v>219757</v>
      </c>
      <c r="E2239">
        <v>79000</v>
      </c>
      <c r="F2239">
        <v>79000</v>
      </c>
      <c r="G2239" s="1">
        <v>1E-3</v>
      </c>
      <c r="H2239" s="1">
        <v>1E-3</v>
      </c>
      <c r="I2239" s="1">
        <v>1E-3</v>
      </c>
      <c r="J2239" s="1">
        <v>0.28889999999999999</v>
      </c>
    </row>
    <row r="2240" spans="1:10" x14ac:dyDescent="0.2">
      <c r="A2240" t="str">
        <f>"08/08/2017"</f>
        <v>08/08/2017</v>
      </c>
      <c r="B2240">
        <v>1</v>
      </c>
      <c r="C2240">
        <v>79000</v>
      </c>
      <c r="D2240">
        <v>219495</v>
      </c>
      <c r="E2240">
        <v>79000</v>
      </c>
      <c r="F2240">
        <v>79000</v>
      </c>
      <c r="G2240" s="1">
        <v>1E-3</v>
      </c>
      <c r="H2240" s="1">
        <v>1E-3</v>
      </c>
      <c r="I2240" s="1">
        <v>1E-3</v>
      </c>
      <c r="J2240" s="1">
        <v>0.2903</v>
      </c>
    </row>
    <row r="2241" spans="1:10" x14ac:dyDescent="0.2">
      <c r="A2241" t="str">
        <f>"07/08/2017"</f>
        <v>07/08/2017</v>
      </c>
      <c r="B2241">
        <v>1</v>
      </c>
      <c r="C2241">
        <v>80000</v>
      </c>
      <c r="D2241">
        <v>220709</v>
      </c>
      <c r="E2241">
        <v>80000</v>
      </c>
      <c r="F2241">
        <v>80000</v>
      </c>
      <c r="G2241" s="1">
        <v>1E-3</v>
      </c>
      <c r="H2241" s="1">
        <v>1E-3</v>
      </c>
      <c r="I2241" s="1">
        <v>1E-3</v>
      </c>
      <c r="J2241" s="1">
        <v>0.29830000000000001</v>
      </c>
    </row>
    <row r="2242" spans="1:10" x14ac:dyDescent="0.2">
      <c r="A2242" t="str">
        <f>"06/08/2017"</f>
        <v>06/08/2017</v>
      </c>
      <c r="B2242">
        <v>1</v>
      </c>
      <c r="C2242">
        <v>80000</v>
      </c>
      <c r="D2242">
        <v>214348</v>
      </c>
      <c r="E2242">
        <v>80000</v>
      </c>
      <c r="F2242">
        <v>80000</v>
      </c>
      <c r="G2242" s="1">
        <v>1E-3</v>
      </c>
      <c r="H2242" s="1">
        <v>1E-3</v>
      </c>
      <c r="I2242" s="1">
        <v>1E-3</v>
      </c>
      <c r="J2242" s="1">
        <v>0.314</v>
      </c>
    </row>
    <row r="2243" spans="1:10" x14ac:dyDescent="0.2">
      <c r="A2243" t="str">
        <f>"03/08/2017"</f>
        <v>03/08/2017</v>
      </c>
      <c r="B2243">
        <v>3</v>
      </c>
      <c r="C2243">
        <v>80000</v>
      </c>
      <c r="D2243">
        <v>219914</v>
      </c>
      <c r="E2243">
        <v>80000</v>
      </c>
      <c r="F2243">
        <v>80000</v>
      </c>
      <c r="G2243" s="1">
        <v>1E-3</v>
      </c>
      <c r="H2243" s="1">
        <v>1E-3</v>
      </c>
      <c r="I2243" s="1">
        <v>1E-3</v>
      </c>
      <c r="J2243" s="1">
        <v>0.29480000000000001</v>
      </c>
    </row>
    <row r="2244" spans="1:10" x14ac:dyDescent="0.2">
      <c r="A2244" t="str">
        <f>"02/08/2017"</f>
        <v>02/08/2017</v>
      </c>
      <c r="B2244">
        <v>1</v>
      </c>
      <c r="C2244">
        <v>83000</v>
      </c>
      <c r="D2244">
        <v>223984</v>
      </c>
      <c r="E2244">
        <v>83000</v>
      </c>
      <c r="F2244">
        <v>83000</v>
      </c>
      <c r="G2244" s="1">
        <v>1E-3</v>
      </c>
      <c r="H2244" s="1">
        <v>1E-3</v>
      </c>
      <c r="I2244" s="1">
        <v>1E-3</v>
      </c>
      <c r="J2244" s="1">
        <v>0.29709999999999998</v>
      </c>
    </row>
    <row r="2245" spans="1:10" x14ac:dyDescent="0.2">
      <c r="A2245" t="str">
        <f>"31/07/2017"</f>
        <v>31/07/2017</v>
      </c>
      <c r="B2245">
        <v>2</v>
      </c>
      <c r="C2245">
        <v>75000</v>
      </c>
      <c r="D2245">
        <v>193326</v>
      </c>
      <c r="E2245">
        <v>75000</v>
      </c>
      <c r="F2245">
        <v>75000</v>
      </c>
      <c r="G2245" s="1">
        <v>1E-3</v>
      </c>
      <c r="H2245" s="1">
        <v>1E-3</v>
      </c>
      <c r="I2245" s="1">
        <v>1E-3</v>
      </c>
      <c r="J2245" s="1">
        <v>0.31280000000000002</v>
      </c>
    </row>
    <row r="2246" spans="1:10" x14ac:dyDescent="0.2">
      <c r="A2246" t="str">
        <f>"30/07/2017"</f>
        <v>30/07/2017</v>
      </c>
      <c r="B2246">
        <v>1</v>
      </c>
      <c r="C2246">
        <v>73000</v>
      </c>
      <c r="D2246">
        <v>185231</v>
      </c>
      <c r="E2246">
        <v>73000</v>
      </c>
      <c r="F2246">
        <v>73000</v>
      </c>
      <c r="G2246" s="1">
        <v>1E-3</v>
      </c>
      <c r="H2246" s="1">
        <v>1E-3</v>
      </c>
      <c r="I2246" s="1">
        <v>1E-3</v>
      </c>
      <c r="J2246" s="1">
        <v>0.32190000000000002</v>
      </c>
    </row>
    <row r="2247" spans="1:10" x14ac:dyDescent="0.2">
      <c r="A2247" t="str">
        <f>"27/07/2017"</f>
        <v>27/07/2017</v>
      </c>
      <c r="B2247">
        <v>3</v>
      </c>
      <c r="C2247">
        <v>72000</v>
      </c>
      <c r="D2247">
        <v>182941</v>
      </c>
      <c r="E2247">
        <v>72000</v>
      </c>
      <c r="F2247">
        <v>72000</v>
      </c>
      <c r="G2247" s="1">
        <v>1E-3</v>
      </c>
      <c r="H2247" s="1">
        <v>1E-3</v>
      </c>
      <c r="I2247" s="1">
        <v>1E-3</v>
      </c>
      <c r="J2247" s="1">
        <v>0.32350000000000001</v>
      </c>
    </row>
    <row r="2248" spans="1:10" x14ac:dyDescent="0.2">
      <c r="A2248" t="str">
        <f>"26/07/2017"</f>
        <v>26/07/2017</v>
      </c>
      <c r="B2248">
        <v>1</v>
      </c>
      <c r="C2248">
        <v>75000</v>
      </c>
      <c r="D2248">
        <v>181622</v>
      </c>
      <c r="E2248">
        <v>75000</v>
      </c>
      <c r="F2248">
        <v>75000</v>
      </c>
      <c r="G2248" s="1">
        <v>1E-3</v>
      </c>
      <c r="H2248" s="1">
        <v>1E-3</v>
      </c>
      <c r="I2248" s="1">
        <v>1E-3</v>
      </c>
      <c r="J2248" s="1">
        <v>0.3422</v>
      </c>
    </row>
    <row r="2249" spans="1:10" x14ac:dyDescent="0.2">
      <c r="A2249" t="str">
        <f>"25/07/2017"</f>
        <v>25/07/2017</v>
      </c>
      <c r="B2249">
        <v>1</v>
      </c>
      <c r="C2249">
        <v>71000</v>
      </c>
      <c r="D2249">
        <v>182340</v>
      </c>
      <c r="E2249">
        <v>71000</v>
      </c>
      <c r="F2249">
        <v>71000</v>
      </c>
      <c r="G2249" s="1">
        <v>1E-3</v>
      </c>
      <c r="H2249" s="1">
        <v>1E-3</v>
      </c>
      <c r="I2249" s="1">
        <v>1E-3</v>
      </c>
      <c r="J2249" s="1">
        <v>0.3165</v>
      </c>
    </row>
    <row r="2250" spans="1:10" x14ac:dyDescent="0.2">
      <c r="A2250" t="str">
        <f>"24/07/2017"</f>
        <v>24/07/2017</v>
      </c>
      <c r="B2250">
        <v>1</v>
      </c>
      <c r="C2250">
        <v>71000</v>
      </c>
      <c r="D2250">
        <v>176123</v>
      </c>
      <c r="E2250">
        <v>71000</v>
      </c>
      <c r="F2250">
        <v>71000</v>
      </c>
      <c r="G2250" s="1">
        <v>1E-3</v>
      </c>
      <c r="H2250" s="1">
        <v>1E-3</v>
      </c>
      <c r="I2250" s="1">
        <v>1E-3</v>
      </c>
      <c r="J2250" s="1">
        <v>0.32350000000000001</v>
      </c>
    </row>
    <row r="2251" spans="1:10" x14ac:dyDescent="0.2">
      <c r="A2251" t="str">
        <f>"23/07/2017"</f>
        <v>23/07/2017</v>
      </c>
      <c r="B2251">
        <v>1</v>
      </c>
      <c r="C2251">
        <v>72000</v>
      </c>
      <c r="D2251">
        <v>181468</v>
      </c>
      <c r="E2251">
        <v>72000</v>
      </c>
      <c r="F2251">
        <v>72000</v>
      </c>
      <c r="G2251" s="1">
        <v>1E-3</v>
      </c>
      <c r="H2251" s="1">
        <v>1E-3</v>
      </c>
      <c r="I2251" s="1">
        <v>1E-3</v>
      </c>
      <c r="J2251" s="1">
        <v>0.33639999999999998</v>
      </c>
    </row>
    <row r="2252" spans="1:10" x14ac:dyDescent="0.2">
      <c r="A2252" t="str">
        <f>"20/07/2017"</f>
        <v>20/07/2017</v>
      </c>
      <c r="B2252">
        <v>3</v>
      </c>
      <c r="C2252">
        <v>74000</v>
      </c>
      <c r="D2252">
        <v>187919</v>
      </c>
      <c r="E2252">
        <v>74000</v>
      </c>
      <c r="F2252">
        <v>74000</v>
      </c>
      <c r="G2252" s="1">
        <v>1E-3</v>
      </c>
      <c r="H2252" s="1">
        <v>1E-3</v>
      </c>
      <c r="I2252" s="1">
        <v>1E-3</v>
      </c>
      <c r="J2252" s="1">
        <v>0.33189999999999997</v>
      </c>
    </row>
    <row r="2253" spans="1:10" x14ac:dyDescent="0.2">
      <c r="A2253" t="str">
        <f>"19/07/2017"</f>
        <v>19/07/2017</v>
      </c>
      <c r="B2253">
        <v>1</v>
      </c>
      <c r="C2253">
        <v>75000</v>
      </c>
      <c r="D2253">
        <v>182516</v>
      </c>
      <c r="E2253">
        <v>75000</v>
      </c>
      <c r="F2253">
        <v>75000</v>
      </c>
      <c r="G2253" s="1">
        <v>1E-3</v>
      </c>
      <c r="H2253" s="1">
        <v>1E-3</v>
      </c>
      <c r="I2253" s="1">
        <v>1E-3</v>
      </c>
      <c r="J2253" s="1">
        <v>0.34920000000000001</v>
      </c>
    </row>
    <row r="2254" spans="1:10" x14ac:dyDescent="0.2">
      <c r="A2254" t="str">
        <f>"18/07/2017"</f>
        <v>18/07/2017</v>
      </c>
      <c r="B2254">
        <v>1</v>
      </c>
      <c r="C2254">
        <v>75000</v>
      </c>
      <c r="D2254">
        <v>175122</v>
      </c>
      <c r="E2254">
        <v>75000</v>
      </c>
      <c r="F2254">
        <v>75000</v>
      </c>
      <c r="G2254" s="1">
        <v>1E-3</v>
      </c>
      <c r="H2254" s="1">
        <v>1E-3</v>
      </c>
      <c r="I2254" s="1">
        <v>1E-3</v>
      </c>
      <c r="J2254" s="1">
        <v>0.37330000000000002</v>
      </c>
    </row>
    <row r="2255" spans="1:10" x14ac:dyDescent="0.2">
      <c r="A2255" t="str">
        <f>"17/07/2017"</f>
        <v>17/07/2017</v>
      </c>
      <c r="B2255">
        <v>1</v>
      </c>
      <c r="C2255">
        <v>76000</v>
      </c>
      <c r="D2255">
        <v>150829</v>
      </c>
      <c r="E2255">
        <v>76000</v>
      </c>
      <c r="F2255">
        <v>76000</v>
      </c>
      <c r="G2255" s="1">
        <v>1E-3</v>
      </c>
      <c r="H2255" s="1">
        <v>1E-3</v>
      </c>
      <c r="I2255" s="1">
        <v>1E-3</v>
      </c>
      <c r="J2255" s="1">
        <v>0.44479999999999997</v>
      </c>
    </row>
    <row r="2256" spans="1:10" x14ac:dyDescent="0.2">
      <c r="A2256" t="str">
        <f>"16/07/2017"</f>
        <v>16/07/2017</v>
      </c>
      <c r="B2256">
        <v>1</v>
      </c>
      <c r="C2256">
        <v>87000</v>
      </c>
      <c r="D2256">
        <v>146431</v>
      </c>
      <c r="E2256">
        <v>87000</v>
      </c>
      <c r="F2256">
        <v>87000</v>
      </c>
      <c r="G2256" s="1">
        <v>1E-3</v>
      </c>
      <c r="H2256" s="1">
        <v>1E-3</v>
      </c>
      <c r="I2256" s="1">
        <v>1E-3</v>
      </c>
      <c r="J2256" s="1">
        <v>0.54379999999999995</v>
      </c>
    </row>
    <row r="2257" spans="1:10" x14ac:dyDescent="0.2">
      <c r="A2257" t="str">
        <f>"13/07/2017"</f>
        <v>13/07/2017</v>
      </c>
      <c r="B2257">
        <v>3</v>
      </c>
      <c r="C2257">
        <v>89000</v>
      </c>
      <c r="D2257">
        <v>116118</v>
      </c>
      <c r="E2257">
        <v>89000</v>
      </c>
      <c r="F2257">
        <v>89000</v>
      </c>
      <c r="G2257" s="1">
        <v>1E-3</v>
      </c>
      <c r="H2257" s="1">
        <v>1E-3</v>
      </c>
      <c r="I2257" s="1">
        <v>1E-3</v>
      </c>
      <c r="J2257" s="1">
        <v>0.73409999999999997</v>
      </c>
    </row>
    <row r="2258" spans="1:10" x14ac:dyDescent="0.2">
      <c r="A2258" t="str">
        <f>"12/07/2017"</f>
        <v>12/07/2017</v>
      </c>
      <c r="B2258">
        <v>1</v>
      </c>
      <c r="C2258">
        <v>89000</v>
      </c>
      <c r="D2258">
        <v>91754</v>
      </c>
      <c r="E2258">
        <v>89000</v>
      </c>
      <c r="F2258">
        <v>89000</v>
      </c>
      <c r="G2258" s="1">
        <v>1E-3</v>
      </c>
      <c r="H2258" s="1">
        <v>1E-3</v>
      </c>
      <c r="I2258" s="1">
        <v>1E-3</v>
      </c>
      <c r="J2258" s="1">
        <v>0.95809999999999995</v>
      </c>
    </row>
    <row r="2259" spans="1:10" x14ac:dyDescent="0.2">
      <c r="A2259" t="str">
        <f>"11/07/2017"</f>
        <v>11/07/2017</v>
      </c>
      <c r="B2259">
        <v>1</v>
      </c>
      <c r="C2259">
        <v>87000</v>
      </c>
      <c r="D2259">
        <v>173721</v>
      </c>
      <c r="E2259">
        <v>87000</v>
      </c>
      <c r="F2259">
        <v>87000</v>
      </c>
      <c r="G2259" s="1">
        <v>1E-3</v>
      </c>
      <c r="H2259" s="1">
        <v>1E-3</v>
      </c>
      <c r="I2259" s="1">
        <v>1E-3</v>
      </c>
      <c r="J2259" s="1">
        <v>0.4219</v>
      </c>
    </row>
    <row r="2260" spans="1:10" x14ac:dyDescent="0.2">
      <c r="A2260" t="str">
        <f>"10/07/2017"</f>
        <v>10/07/2017</v>
      </c>
      <c r="B2260">
        <v>1</v>
      </c>
      <c r="C2260">
        <v>88000</v>
      </c>
      <c r="D2260">
        <v>205140</v>
      </c>
      <c r="E2260">
        <v>88000</v>
      </c>
      <c r="F2260">
        <v>88000</v>
      </c>
      <c r="G2260" s="1">
        <v>1E-3</v>
      </c>
      <c r="H2260" s="1">
        <v>1E-3</v>
      </c>
      <c r="I2260" s="1">
        <v>1E-3</v>
      </c>
      <c r="J2260" s="1">
        <v>0.37419999999999998</v>
      </c>
    </row>
    <row r="2261" spans="1:10" x14ac:dyDescent="0.2">
      <c r="A2261" t="str">
        <f>"09/07/2017"</f>
        <v>09/07/2017</v>
      </c>
      <c r="B2261">
        <v>1</v>
      </c>
      <c r="C2261">
        <v>88000</v>
      </c>
      <c r="D2261">
        <v>212041</v>
      </c>
      <c r="E2261">
        <v>88000</v>
      </c>
      <c r="F2261">
        <v>88000</v>
      </c>
      <c r="G2261" s="1">
        <v>1E-3</v>
      </c>
      <c r="H2261" s="1">
        <v>1E-3</v>
      </c>
      <c r="I2261" s="1">
        <v>1E-3</v>
      </c>
      <c r="J2261" s="1">
        <v>0.35749999999999998</v>
      </c>
    </row>
    <row r="2262" spans="1:10" x14ac:dyDescent="0.2">
      <c r="A2262" t="str">
        <f>"06/07/2017"</f>
        <v>06/07/2017</v>
      </c>
      <c r="B2262">
        <v>3</v>
      </c>
      <c r="C2262">
        <v>88000</v>
      </c>
      <c r="D2262">
        <v>226937</v>
      </c>
      <c r="E2262">
        <v>88000</v>
      </c>
      <c r="F2262">
        <v>88000</v>
      </c>
      <c r="G2262" s="1">
        <v>1E-3</v>
      </c>
      <c r="H2262" s="1">
        <v>1E-3</v>
      </c>
      <c r="I2262" s="1">
        <v>1E-3</v>
      </c>
      <c r="J2262" s="1">
        <v>0.3322</v>
      </c>
    </row>
    <row r="2263" spans="1:10" x14ac:dyDescent="0.2">
      <c r="A2263" t="str">
        <f>"05/07/2017"</f>
        <v>05/07/2017</v>
      </c>
      <c r="B2263">
        <v>1</v>
      </c>
      <c r="C2263">
        <v>87000</v>
      </c>
      <c r="D2263">
        <v>232197</v>
      </c>
      <c r="E2263">
        <v>87000</v>
      </c>
      <c r="F2263">
        <v>87000</v>
      </c>
      <c r="G2263" s="1">
        <v>1E-3</v>
      </c>
      <c r="H2263" s="1">
        <v>1E-3</v>
      </c>
      <c r="I2263" s="1">
        <v>1E-3</v>
      </c>
      <c r="J2263" s="1">
        <v>0.32040000000000002</v>
      </c>
    </row>
    <row r="2264" spans="1:10" x14ac:dyDescent="0.2">
      <c r="A2264" t="str">
        <f>"04/07/2017"</f>
        <v>04/07/2017</v>
      </c>
      <c r="B2264">
        <v>1</v>
      </c>
      <c r="C2264">
        <v>85000</v>
      </c>
      <c r="D2264">
        <v>228699</v>
      </c>
      <c r="E2264">
        <v>85000</v>
      </c>
      <c r="F2264">
        <v>85000</v>
      </c>
      <c r="G2264" s="1">
        <v>1E-3</v>
      </c>
      <c r="H2264" s="1">
        <v>1E-3</v>
      </c>
      <c r="I2264" s="1">
        <v>1E-3</v>
      </c>
      <c r="J2264" s="1">
        <v>0.3196</v>
      </c>
    </row>
    <row r="2265" spans="1:10" x14ac:dyDescent="0.2">
      <c r="A2265" t="str">
        <f>"03/07/2017"</f>
        <v>03/07/2017</v>
      </c>
      <c r="B2265">
        <v>1</v>
      </c>
      <c r="C2265">
        <v>85000</v>
      </c>
      <c r="D2265">
        <v>224153</v>
      </c>
      <c r="E2265">
        <v>85000</v>
      </c>
      <c r="F2265">
        <v>85000</v>
      </c>
      <c r="G2265" s="1">
        <v>1E-3</v>
      </c>
      <c r="H2265" s="1">
        <v>1E-3</v>
      </c>
      <c r="I2265" s="1">
        <v>1E-3</v>
      </c>
      <c r="J2265" s="1">
        <v>0.32790000000000002</v>
      </c>
    </row>
    <row r="2266" spans="1:10" x14ac:dyDescent="0.2">
      <c r="A2266" t="str">
        <f>"02/07/2017"</f>
        <v>02/07/2017</v>
      </c>
      <c r="B2266">
        <v>1</v>
      </c>
      <c r="C2266">
        <v>81000</v>
      </c>
      <c r="D2266">
        <v>209782</v>
      </c>
      <c r="E2266">
        <v>81000</v>
      </c>
      <c r="F2266">
        <v>81000</v>
      </c>
      <c r="G2266" s="1">
        <v>1E-3</v>
      </c>
      <c r="H2266" s="1">
        <v>1E-3</v>
      </c>
      <c r="I2266" s="1">
        <v>1E-3</v>
      </c>
      <c r="J2266" s="1">
        <v>0.33489999999999998</v>
      </c>
    </row>
    <row r="2267" spans="1:10" x14ac:dyDescent="0.2">
      <c r="A2267" t="str">
        <f>"29/06/2017"</f>
        <v>29/06/2017</v>
      </c>
      <c r="B2267">
        <v>3</v>
      </c>
      <c r="C2267">
        <v>73000</v>
      </c>
      <c r="D2267">
        <v>179712</v>
      </c>
      <c r="E2267">
        <v>73000</v>
      </c>
      <c r="F2267">
        <v>73000</v>
      </c>
      <c r="G2267" s="1">
        <v>1E-3</v>
      </c>
      <c r="H2267" s="1">
        <v>1E-3</v>
      </c>
      <c r="I2267" s="1">
        <v>1E-3</v>
      </c>
      <c r="J2267" s="1">
        <v>0.35699999999999998</v>
      </c>
    </row>
    <row r="2268" spans="1:10" x14ac:dyDescent="0.2">
      <c r="A2268" t="str">
        <f>"28/06/2017"</f>
        <v>28/06/2017</v>
      </c>
      <c r="B2268">
        <v>1</v>
      </c>
      <c r="C2268">
        <v>72000</v>
      </c>
      <c r="D2268">
        <v>186350</v>
      </c>
      <c r="E2268">
        <v>72000</v>
      </c>
      <c r="F2268">
        <v>72000</v>
      </c>
      <c r="G2268" s="1">
        <v>1E-3</v>
      </c>
      <c r="H2268" s="1">
        <v>1E-3</v>
      </c>
      <c r="I2268" s="1">
        <v>1E-3</v>
      </c>
      <c r="J2268" s="1">
        <v>0.32769999999999999</v>
      </c>
    </row>
    <row r="2269" spans="1:10" x14ac:dyDescent="0.2">
      <c r="A2269" t="str">
        <f>"27/06/2017"</f>
        <v>27/06/2017</v>
      </c>
      <c r="B2269">
        <v>1</v>
      </c>
      <c r="C2269">
        <v>72000</v>
      </c>
      <c r="D2269">
        <v>185265</v>
      </c>
      <c r="E2269">
        <v>72000</v>
      </c>
      <c r="F2269">
        <v>72000</v>
      </c>
      <c r="G2269" s="1">
        <v>1E-3</v>
      </c>
      <c r="H2269" s="1">
        <v>1E-3</v>
      </c>
      <c r="I2269" s="1">
        <v>1E-3</v>
      </c>
      <c r="J2269" s="1">
        <v>0.3322</v>
      </c>
    </row>
    <row r="2270" spans="1:10" x14ac:dyDescent="0.2">
      <c r="A2270" t="str">
        <f>"26/06/2017"</f>
        <v>26/06/2017</v>
      </c>
      <c r="B2270">
        <v>1</v>
      </c>
      <c r="C2270">
        <v>73000</v>
      </c>
      <c r="D2270">
        <v>191677</v>
      </c>
      <c r="E2270">
        <v>73000</v>
      </c>
      <c r="F2270">
        <v>73000</v>
      </c>
      <c r="G2270" s="1">
        <v>1E-3</v>
      </c>
      <c r="H2270" s="1">
        <v>1E-3</v>
      </c>
      <c r="I2270" s="1">
        <v>1E-3</v>
      </c>
      <c r="J2270" s="1">
        <v>0.33139999999999997</v>
      </c>
    </row>
    <row r="2271" spans="1:10" x14ac:dyDescent="0.2">
      <c r="A2271" t="str">
        <f>"25/06/2017"</f>
        <v>25/06/2017</v>
      </c>
      <c r="B2271">
        <v>1</v>
      </c>
      <c r="C2271">
        <v>74000</v>
      </c>
      <c r="D2271">
        <v>190136</v>
      </c>
      <c r="E2271">
        <v>74000</v>
      </c>
      <c r="F2271">
        <v>74000</v>
      </c>
      <c r="G2271" s="1">
        <v>1E-3</v>
      </c>
      <c r="H2271" s="1">
        <v>1E-3</v>
      </c>
      <c r="I2271" s="1">
        <v>1E-3</v>
      </c>
      <c r="J2271" s="1">
        <v>0.33810000000000001</v>
      </c>
    </row>
    <row r="2272" spans="1:10" x14ac:dyDescent="0.2">
      <c r="A2272" t="str">
        <f>"22/06/2017"</f>
        <v>22/06/2017</v>
      </c>
      <c r="B2272">
        <v>3</v>
      </c>
      <c r="C2272">
        <v>74000</v>
      </c>
      <c r="D2272">
        <v>189192</v>
      </c>
      <c r="E2272">
        <v>74000</v>
      </c>
      <c r="F2272">
        <v>74000</v>
      </c>
      <c r="G2272" s="1">
        <v>1E-3</v>
      </c>
      <c r="H2272" s="1">
        <v>1E-3</v>
      </c>
      <c r="I2272" s="1">
        <v>1E-3</v>
      </c>
      <c r="J2272" s="1">
        <v>0.34</v>
      </c>
    </row>
    <row r="2273" spans="1:10" x14ac:dyDescent="0.2">
      <c r="A2273" t="str">
        <f>"21/06/2017"</f>
        <v>21/06/2017</v>
      </c>
      <c r="B2273">
        <v>1</v>
      </c>
      <c r="C2273">
        <v>72000</v>
      </c>
      <c r="D2273">
        <v>182580</v>
      </c>
      <c r="E2273">
        <v>72000</v>
      </c>
      <c r="F2273">
        <v>72000</v>
      </c>
      <c r="G2273" s="1">
        <v>1E-3</v>
      </c>
      <c r="H2273" s="1">
        <v>1E-3</v>
      </c>
      <c r="I2273" s="1">
        <v>1E-3</v>
      </c>
      <c r="J2273" s="1">
        <v>0.3372</v>
      </c>
    </row>
    <row r="2274" spans="1:10" x14ac:dyDescent="0.2">
      <c r="A2274" t="str">
        <f>"20/06/2017"</f>
        <v>20/06/2017</v>
      </c>
      <c r="B2274">
        <v>1</v>
      </c>
      <c r="C2274">
        <v>73000</v>
      </c>
      <c r="D2274">
        <v>181770</v>
      </c>
      <c r="E2274">
        <v>73000</v>
      </c>
      <c r="F2274">
        <v>73000</v>
      </c>
      <c r="G2274" s="1">
        <v>1E-3</v>
      </c>
      <c r="H2274" s="1">
        <v>1E-3</v>
      </c>
      <c r="I2274" s="1">
        <v>1E-3</v>
      </c>
      <c r="J2274" s="1">
        <v>0.34789999999999999</v>
      </c>
    </row>
    <row r="2275" spans="1:10" x14ac:dyDescent="0.2">
      <c r="A2275" t="str">
        <f>"19/06/2017"</f>
        <v>19/06/2017</v>
      </c>
      <c r="B2275">
        <v>1</v>
      </c>
      <c r="C2275">
        <v>75000</v>
      </c>
      <c r="D2275">
        <v>191691</v>
      </c>
      <c r="E2275">
        <v>75000</v>
      </c>
      <c r="F2275">
        <v>75000</v>
      </c>
      <c r="G2275" s="1">
        <v>1E-3</v>
      </c>
      <c r="H2275" s="1">
        <v>1E-3</v>
      </c>
      <c r="I2275" s="1">
        <v>1E-3</v>
      </c>
      <c r="J2275" s="1">
        <v>0.3382</v>
      </c>
    </row>
    <row r="2276" spans="1:10" x14ac:dyDescent="0.2">
      <c r="A2276" t="str">
        <f>"18/06/2017"</f>
        <v>18/06/2017</v>
      </c>
      <c r="B2276">
        <v>1</v>
      </c>
      <c r="C2276">
        <v>75000</v>
      </c>
      <c r="D2276">
        <v>190198</v>
      </c>
      <c r="E2276">
        <v>75000</v>
      </c>
      <c r="F2276">
        <v>75000</v>
      </c>
      <c r="G2276" s="1">
        <v>1E-3</v>
      </c>
      <c r="H2276" s="1">
        <v>1E-3</v>
      </c>
      <c r="I2276" s="1">
        <v>1E-3</v>
      </c>
      <c r="J2276" s="1">
        <v>0.3417</v>
      </c>
    </row>
    <row r="2277" spans="1:10" x14ac:dyDescent="0.2">
      <c r="A2277" t="str">
        <f>"15/06/2017"</f>
        <v>15/06/2017</v>
      </c>
      <c r="B2277">
        <v>3</v>
      </c>
      <c r="C2277">
        <v>75000</v>
      </c>
      <c r="D2277">
        <v>193646</v>
      </c>
      <c r="E2277">
        <v>75000</v>
      </c>
      <c r="F2277">
        <v>75000</v>
      </c>
      <c r="G2277" s="1">
        <v>1E-3</v>
      </c>
      <c r="H2277" s="1">
        <v>1E-3</v>
      </c>
      <c r="I2277" s="1">
        <v>1E-3</v>
      </c>
      <c r="J2277" s="1">
        <v>0.3367</v>
      </c>
    </row>
    <row r="2278" spans="1:10" x14ac:dyDescent="0.2">
      <c r="A2278" t="str">
        <f>"15/06/2017"</f>
        <v>15/06/2017</v>
      </c>
      <c r="B2278">
        <v>1</v>
      </c>
      <c r="C2278">
        <v>10000</v>
      </c>
      <c r="D2278">
        <v>23400</v>
      </c>
      <c r="E2278">
        <v>10000</v>
      </c>
      <c r="F2278">
        <v>10000</v>
      </c>
      <c r="G2278" s="1">
        <v>1E-3</v>
      </c>
      <c r="H2278" s="1">
        <v>1E-3</v>
      </c>
      <c r="I2278" s="1">
        <v>1E-3</v>
      </c>
      <c r="J2278" s="1">
        <v>0.40439999999999998</v>
      </c>
    </row>
    <row r="2279" spans="1:10" x14ac:dyDescent="0.2">
      <c r="A2279" t="str">
        <f>"14/06/2017"</f>
        <v>14/06/2017</v>
      </c>
      <c r="B2279">
        <v>1</v>
      </c>
      <c r="C2279">
        <v>85000</v>
      </c>
      <c r="D2279">
        <v>211644</v>
      </c>
      <c r="E2279">
        <v>85000</v>
      </c>
      <c r="F2279">
        <v>85000</v>
      </c>
      <c r="G2279" s="1">
        <v>1E-3</v>
      </c>
      <c r="H2279" s="1">
        <v>1E-3</v>
      </c>
      <c r="I2279" s="1">
        <v>1E-3</v>
      </c>
      <c r="J2279" s="1">
        <v>0.35099999999999998</v>
      </c>
    </row>
    <row r="2280" spans="1:10" x14ac:dyDescent="0.2">
      <c r="A2280" t="str">
        <f>"13/06/2017"</f>
        <v>13/06/2017</v>
      </c>
      <c r="B2280">
        <v>1</v>
      </c>
      <c r="C2280">
        <v>84000</v>
      </c>
      <c r="D2280">
        <v>213001</v>
      </c>
      <c r="E2280">
        <v>84000</v>
      </c>
      <c r="F2280">
        <v>84000</v>
      </c>
      <c r="G2280" s="1">
        <v>1E-3</v>
      </c>
      <c r="H2280" s="1">
        <v>1E-3</v>
      </c>
      <c r="I2280" s="1">
        <v>1E-3</v>
      </c>
      <c r="J2280" s="1">
        <v>0.34389999999999998</v>
      </c>
    </row>
    <row r="2281" spans="1:10" x14ac:dyDescent="0.2">
      <c r="A2281" t="str">
        <f>"12/06/2017"</f>
        <v>12/06/2017</v>
      </c>
      <c r="B2281">
        <v>1</v>
      </c>
      <c r="C2281">
        <v>85000</v>
      </c>
      <c r="D2281">
        <v>214636</v>
      </c>
      <c r="E2281">
        <v>85000</v>
      </c>
      <c r="F2281">
        <v>85000</v>
      </c>
      <c r="G2281" s="1">
        <v>1E-3</v>
      </c>
      <c r="H2281" s="1">
        <v>1E-3</v>
      </c>
      <c r="I2281" s="1">
        <v>1E-3</v>
      </c>
      <c r="J2281" s="1">
        <v>0.34399999999999997</v>
      </c>
    </row>
    <row r="2282" spans="1:10" x14ac:dyDescent="0.2">
      <c r="A2282" t="str">
        <f>"11/06/2017"</f>
        <v>11/06/2017</v>
      </c>
      <c r="B2282">
        <v>1</v>
      </c>
      <c r="C2282">
        <v>85000</v>
      </c>
      <c r="D2282">
        <v>211337</v>
      </c>
      <c r="E2282">
        <v>85000</v>
      </c>
      <c r="F2282">
        <v>85000</v>
      </c>
      <c r="G2282" s="1">
        <v>1E-3</v>
      </c>
      <c r="H2282" s="1">
        <v>1E-3</v>
      </c>
      <c r="I2282" s="1">
        <v>1E-3</v>
      </c>
      <c r="J2282" s="1">
        <v>0.34939999999999999</v>
      </c>
    </row>
    <row r="2283" spans="1:10" x14ac:dyDescent="0.2">
      <c r="A2283" t="str">
        <f>"08/06/2017"</f>
        <v>08/06/2017</v>
      </c>
      <c r="B2283">
        <v>3</v>
      </c>
      <c r="C2283">
        <v>84000</v>
      </c>
      <c r="D2283">
        <v>220710</v>
      </c>
      <c r="E2283">
        <v>84000</v>
      </c>
      <c r="F2283">
        <v>84000</v>
      </c>
      <c r="G2283" s="1">
        <v>1E-3</v>
      </c>
      <c r="H2283" s="1">
        <v>1E-3</v>
      </c>
      <c r="I2283" s="1">
        <v>1E-3</v>
      </c>
      <c r="J2283" s="1">
        <v>0.32019999999999998</v>
      </c>
    </row>
    <row r="2284" spans="1:10" x14ac:dyDescent="0.2">
      <c r="A2284" t="str">
        <f>"07/06/2017"</f>
        <v>07/06/2017</v>
      </c>
      <c r="B2284">
        <v>1</v>
      </c>
      <c r="C2284">
        <v>83000</v>
      </c>
      <c r="D2284">
        <v>223914</v>
      </c>
      <c r="E2284">
        <v>83000</v>
      </c>
      <c r="F2284">
        <v>83000</v>
      </c>
      <c r="G2284" s="1">
        <v>1E-3</v>
      </c>
      <c r="H2284" s="1">
        <v>1E-3</v>
      </c>
      <c r="I2284" s="1">
        <v>1E-3</v>
      </c>
      <c r="J2284" s="1">
        <v>0.31030000000000002</v>
      </c>
    </row>
    <row r="2285" spans="1:10" x14ac:dyDescent="0.2">
      <c r="A2285" t="str">
        <f>"06/06/2017"</f>
        <v>06/06/2017</v>
      </c>
      <c r="B2285">
        <v>1</v>
      </c>
      <c r="C2285">
        <v>80000</v>
      </c>
      <c r="D2285">
        <v>193554</v>
      </c>
      <c r="E2285">
        <v>80000</v>
      </c>
      <c r="F2285">
        <v>80000</v>
      </c>
      <c r="G2285" s="1">
        <v>1E-3</v>
      </c>
      <c r="H2285" s="1">
        <v>1E-3</v>
      </c>
      <c r="I2285" s="1">
        <v>1E-3</v>
      </c>
      <c r="J2285" s="1">
        <v>0.35549999999999998</v>
      </c>
    </row>
    <row r="2286" spans="1:10" x14ac:dyDescent="0.2">
      <c r="A2286" t="str">
        <f>"05/06/2017"</f>
        <v>05/06/2017</v>
      </c>
      <c r="B2286">
        <v>1</v>
      </c>
      <c r="C2286">
        <v>80000</v>
      </c>
      <c r="D2286">
        <v>157997</v>
      </c>
      <c r="E2286">
        <v>80000</v>
      </c>
      <c r="F2286">
        <v>80000</v>
      </c>
      <c r="G2286" s="1">
        <v>1E-3</v>
      </c>
      <c r="H2286" s="1">
        <v>1E-3</v>
      </c>
      <c r="I2286" s="1">
        <v>1E-3</v>
      </c>
      <c r="J2286" s="1">
        <v>0.4622</v>
      </c>
    </row>
    <row r="2287" spans="1:10" x14ac:dyDescent="0.2">
      <c r="A2287" t="str">
        <f>"04/06/2017"</f>
        <v>04/06/2017</v>
      </c>
      <c r="B2287">
        <v>1</v>
      </c>
      <c r="C2287">
        <v>79000</v>
      </c>
      <c r="D2287">
        <v>118135</v>
      </c>
      <c r="E2287">
        <v>79000</v>
      </c>
      <c r="F2287">
        <v>79000</v>
      </c>
      <c r="G2287" s="1">
        <v>1E-3</v>
      </c>
      <c r="H2287" s="1">
        <v>1E-3</v>
      </c>
      <c r="I2287" s="1">
        <v>1E-3</v>
      </c>
      <c r="J2287" s="1">
        <v>0.62170000000000003</v>
      </c>
    </row>
    <row r="2288" spans="1:10" x14ac:dyDescent="0.2">
      <c r="A2288" t="str">
        <f>"01/06/2017"</f>
        <v>01/06/2017</v>
      </c>
      <c r="B2288">
        <v>3</v>
      </c>
      <c r="C2288">
        <v>79000</v>
      </c>
      <c r="D2288">
        <v>99393</v>
      </c>
      <c r="E2288">
        <v>79000</v>
      </c>
      <c r="F2288">
        <v>79000</v>
      </c>
      <c r="G2288" s="1">
        <v>1E-3</v>
      </c>
      <c r="H2288" s="1">
        <v>1E-3</v>
      </c>
      <c r="I2288" s="1">
        <v>1E-3</v>
      </c>
      <c r="J2288" s="1">
        <v>0.76180000000000003</v>
      </c>
    </row>
    <row r="2289" spans="1:10" x14ac:dyDescent="0.2">
      <c r="A2289" t="str">
        <f>"30/05/2017"</f>
        <v>30/05/2017</v>
      </c>
      <c r="B2289">
        <v>2</v>
      </c>
      <c r="C2289">
        <v>75000</v>
      </c>
      <c r="D2289">
        <v>66757</v>
      </c>
      <c r="E2289">
        <v>66757</v>
      </c>
      <c r="F2289">
        <v>66757</v>
      </c>
      <c r="G2289" s="1">
        <v>1E-3</v>
      </c>
      <c r="H2289" s="1">
        <v>1E-3</v>
      </c>
      <c r="I2289" s="1">
        <v>1E-3</v>
      </c>
      <c r="J2289" s="1">
        <v>1</v>
      </c>
    </row>
    <row r="2290" spans="1:10" x14ac:dyDescent="0.2">
      <c r="A2290" t="str">
        <f>"29/05/2017"</f>
        <v>29/05/2017</v>
      </c>
      <c r="B2290">
        <v>1</v>
      </c>
      <c r="C2290">
        <v>65000</v>
      </c>
      <c r="D2290">
        <v>94617</v>
      </c>
      <c r="E2290">
        <v>65000</v>
      </c>
      <c r="F2290">
        <v>65000</v>
      </c>
      <c r="G2290" s="1">
        <v>1E-3</v>
      </c>
      <c r="H2290" s="1">
        <v>1E-3</v>
      </c>
      <c r="I2290" s="1">
        <v>1E-3</v>
      </c>
      <c r="J2290" s="1">
        <v>0.60409999999999997</v>
      </c>
    </row>
    <row r="2291" spans="1:10" x14ac:dyDescent="0.2">
      <c r="A2291" t="str">
        <f>"28/05/2017"</f>
        <v>28/05/2017</v>
      </c>
      <c r="B2291">
        <v>1</v>
      </c>
      <c r="C2291">
        <v>65000</v>
      </c>
      <c r="D2291">
        <v>103889</v>
      </c>
      <c r="E2291">
        <v>65000</v>
      </c>
      <c r="F2291">
        <v>65000</v>
      </c>
      <c r="G2291" s="1">
        <v>1E-3</v>
      </c>
      <c r="H2291" s="1">
        <v>1E-3</v>
      </c>
      <c r="I2291" s="1">
        <v>1E-3</v>
      </c>
      <c r="J2291" s="1">
        <v>0.55810000000000004</v>
      </c>
    </row>
    <row r="2292" spans="1:10" x14ac:dyDescent="0.2">
      <c r="A2292" t="str">
        <f>"25/05/2017"</f>
        <v>25/05/2017</v>
      </c>
      <c r="B2292">
        <v>3</v>
      </c>
      <c r="C2292">
        <v>62000</v>
      </c>
      <c r="D2292">
        <v>103496</v>
      </c>
      <c r="E2292">
        <v>62000</v>
      </c>
      <c r="F2292">
        <v>62000</v>
      </c>
      <c r="G2292" s="1">
        <v>1E-3</v>
      </c>
      <c r="H2292" s="1">
        <v>1E-3</v>
      </c>
      <c r="I2292" s="1">
        <v>1E-3</v>
      </c>
      <c r="J2292" s="1">
        <v>0.52380000000000004</v>
      </c>
    </row>
    <row r="2293" spans="1:10" x14ac:dyDescent="0.2">
      <c r="A2293" t="str">
        <f>"24/05/2017"</f>
        <v>24/05/2017</v>
      </c>
      <c r="B2293">
        <v>1</v>
      </c>
      <c r="C2293">
        <v>62000</v>
      </c>
      <c r="D2293">
        <v>110817</v>
      </c>
      <c r="E2293">
        <v>62000</v>
      </c>
      <c r="F2293">
        <v>62000</v>
      </c>
      <c r="G2293" s="1">
        <v>1E-3</v>
      </c>
      <c r="H2293" s="1">
        <v>1E-3</v>
      </c>
      <c r="I2293" s="1">
        <v>1E-3</v>
      </c>
      <c r="J2293" s="1">
        <v>0.48949999999999999</v>
      </c>
    </row>
    <row r="2294" spans="1:10" x14ac:dyDescent="0.2">
      <c r="A2294" t="str">
        <f>"23/05/2017"</f>
        <v>23/05/2017</v>
      </c>
      <c r="B2294">
        <v>1</v>
      </c>
      <c r="C2294">
        <v>63000</v>
      </c>
      <c r="D2294">
        <v>115285</v>
      </c>
      <c r="E2294">
        <v>63000</v>
      </c>
      <c r="F2294">
        <v>63000</v>
      </c>
      <c r="G2294" s="1">
        <v>1E-3</v>
      </c>
      <c r="H2294" s="1">
        <v>1E-3</v>
      </c>
      <c r="I2294" s="1">
        <v>1E-3</v>
      </c>
      <c r="J2294" s="1">
        <v>0.47339999999999999</v>
      </c>
    </row>
    <row r="2295" spans="1:10" x14ac:dyDescent="0.2">
      <c r="A2295" t="str">
        <f>"22/05/2017"</f>
        <v>22/05/2017</v>
      </c>
      <c r="B2295">
        <v>1</v>
      </c>
      <c r="C2295">
        <v>65000</v>
      </c>
      <c r="D2295">
        <v>120472</v>
      </c>
      <c r="E2295">
        <v>65000</v>
      </c>
      <c r="F2295">
        <v>65000</v>
      </c>
      <c r="G2295" s="1">
        <v>1E-3</v>
      </c>
      <c r="H2295" s="1">
        <v>1E-3</v>
      </c>
      <c r="I2295" s="1">
        <v>1E-3</v>
      </c>
      <c r="J2295" s="1">
        <v>0.46560000000000001</v>
      </c>
    </row>
    <row r="2296" spans="1:10" x14ac:dyDescent="0.2">
      <c r="A2296" t="str">
        <f>"21/05/2017"</f>
        <v>21/05/2017</v>
      </c>
      <c r="B2296">
        <v>1</v>
      </c>
      <c r="C2296">
        <v>66000</v>
      </c>
      <c r="D2296">
        <v>121160</v>
      </c>
      <c r="E2296">
        <v>66000</v>
      </c>
      <c r="F2296">
        <v>66000</v>
      </c>
      <c r="G2296" s="1">
        <v>1E-3</v>
      </c>
      <c r="H2296" s="1">
        <v>1E-3</v>
      </c>
      <c r="I2296" s="1">
        <v>1E-3</v>
      </c>
      <c r="J2296" s="1">
        <v>0.46689999999999998</v>
      </c>
    </row>
    <row r="2297" spans="1:10" x14ac:dyDescent="0.2">
      <c r="A2297" t="str">
        <f>"18/05/2017"</f>
        <v>18/05/2017</v>
      </c>
      <c r="B2297">
        <v>3</v>
      </c>
      <c r="C2297">
        <v>69000</v>
      </c>
      <c r="D2297">
        <v>132245</v>
      </c>
      <c r="E2297">
        <v>69000</v>
      </c>
      <c r="F2297">
        <v>69000</v>
      </c>
      <c r="G2297" s="1">
        <v>1E-3</v>
      </c>
      <c r="H2297" s="1">
        <v>1E-3</v>
      </c>
      <c r="I2297" s="1">
        <v>1E-3</v>
      </c>
      <c r="J2297" s="1">
        <v>0.44369999999999998</v>
      </c>
    </row>
    <row r="2298" spans="1:10" x14ac:dyDescent="0.2">
      <c r="A2298" t="str">
        <f>"17/05/2017"</f>
        <v>17/05/2017</v>
      </c>
      <c r="B2298">
        <v>1</v>
      </c>
      <c r="C2298">
        <v>70000</v>
      </c>
      <c r="D2298">
        <v>143376</v>
      </c>
      <c r="E2298">
        <v>70000</v>
      </c>
      <c r="F2298">
        <v>70000</v>
      </c>
      <c r="G2298" s="1">
        <v>1E-3</v>
      </c>
      <c r="H2298" s="1">
        <v>1E-3</v>
      </c>
      <c r="I2298" s="1">
        <v>1E-3</v>
      </c>
      <c r="J2298" s="1">
        <v>0.40350000000000003</v>
      </c>
    </row>
    <row r="2299" spans="1:10" x14ac:dyDescent="0.2">
      <c r="A2299" t="str">
        <f>"16/05/2017"</f>
        <v>16/05/2017</v>
      </c>
      <c r="B2299">
        <v>1</v>
      </c>
      <c r="C2299">
        <v>70000</v>
      </c>
      <c r="D2299">
        <v>143548</v>
      </c>
      <c r="E2299">
        <v>70000</v>
      </c>
      <c r="F2299">
        <v>70000</v>
      </c>
      <c r="G2299" s="1">
        <v>1E-3</v>
      </c>
      <c r="H2299" s="1">
        <v>1E-3</v>
      </c>
      <c r="I2299" s="1">
        <v>1E-3</v>
      </c>
      <c r="J2299" s="1">
        <v>0.40839999999999999</v>
      </c>
    </row>
    <row r="2300" spans="1:10" x14ac:dyDescent="0.2">
      <c r="A2300" t="str">
        <f>"15/05/2017"</f>
        <v>15/05/2017</v>
      </c>
      <c r="B2300">
        <v>1</v>
      </c>
      <c r="C2300">
        <v>81000</v>
      </c>
      <c r="D2300">
        <v>173092</v>
      </c>
      <c r="E2300">
        <v>81000</v>
      </c>
      <c r="F2300">
        <v>81000</v>
      </c>
      <c r="G2300" s="1">
        <v>1E-3</v>
      </c>
      <c r="H2300" s="1">
        <v>1E-3</v>
      </c>
      <c r="I2300" s="1">
        <v>1E-3</v>
      </c>
      <c r="J2300" s="1">
        <v>0.4052</v>
      </c>
    </row>
    <row r="2301" spans="1:10" x14ac:dyDescent="0.2">
      <c r="A2301" t="str">
        <f>"14/05/2017"</f>
        <v>14/05/2017</v>
      </c>
      <c r="B2301">
        <v>1</v>
      </c>
      <c r="C2301">
        <v>80000</v>
      </c>
      <c r="D2301">
        <v>170296</v>
      </c>
      <c r="E2301">
        <v>80000</v>
      </c>
      <c r="F2301">
        <v>80000</v>
      </c>
      <c r="G2301" s="1">
        <v>1E-3</v>
      </c>
      <c r="H2301" s="1">
        <v>1E-3</v>
      </c>
      <c r="I2301" s="1">
        <v>1E-3</v>
      </c>
      <c r="J2301" s="1">
        <v>0.39939999999999998</v>
      </c>
    </row>
    <row r="2302" spans="1:10" x14ac:dyDescent="0.2">
      <c r="A2302" t="str">
        <f>"11/05/2017"</f>
        <v>11/05/2017</v>
      </c>
      <c r="B2302">
        <v>3</v>
      </c>
      <c r="C2302">
        <v>80000</v>
      </c>
      <c r="D2302">
        <v>157475</v>
      </c>
      <c r="E2302">
        <v>80000</v>
      </c>
      <c r="F2302">
        <v>80000</v>
      </c>
      <c r="G2302" s="1">
        <v>1E-3</v>
      </c>
      <c r="H2302" s="1">
        <v>1E-3</v>
      </c>
      <c r="I2302" s="1">
        <v>1E-3</v>
      </c>
      <c r="J2302" s="1">
        <v>0.44030000000000002</v>
      </c>
    </row>
    <row r="2303" spans="1:10" x14ac:dyDescent="0.2">
      <c r="A2303" t="str">
        <f>"10/05/2017"</f>
        <v>10/05/2017</v>
      </c>
      <c r="B2303">
        <v>1</v>
      </c>
      <c r="C2303">
        <v>79000</v>
      </c>
      <c r="D2303">
        <v>154821</v>
      </c>
      <c r="E2303">
        <v>79000</v>
      </c>
      <c r="F2303">
        <v>79000</v>
      </c>
      <c r="G2303" s="1">
        <v>1E-3</v>
      </c>
      <c r="H2303" s="1">
        <v>1E-3</v>
      </c>
      <c r="I2303" s="1">
        <v>1E-3</v>
      </c>
      <c r="J2303" s="1">
        <v>0.44409999999999999</v>
      </c>
    </row>
    <row r="2304" spans="1:10" x14ac:dyDescent="0.2">
      <c r="A2304" t="str">
        <f>"09/05/2017"</f>
        <v>09/05/2017</v>
      </c>
      <c r="B2304">
        <v>1</v>
      </c>
      <c r="C2304">
        <v>78000</v>
      </c>
      <c r="D2304">
        <v>159557</v>
      </c>
      <c r="E2304">
        <v>78000</v>
      </c>
      <c r="F2304">
        <v>78000</v>
      </c>
      <c r="G2304" s="1">
        <v>1E-3</v>
      </c>
      <c r="H2304" s="1">
        <v>1E-3</v>
      </c>
      <c r="I2304" s="1">
        <v>1E-3</v>
      </c>
      <c r="J2304" s="1">
        <v>0.40749999999999997</v>
      </c>
    </row>
    <row r="2305" spans="1:10" x14ac:dyDescent="0.2">
      <c r="A2305" t="str">
        <f>"08/05/2017"</f>
        <v>08/05/2017</v>
      </c>
      <c r="B2305">
        <v>1</v>
      </c>
      <c r="C2305">
        <v>79000</v>
      </c>
      <c r="D2305">
        <v>165828</v>
      </c>
      <c r="E2305">
        <v>79000</v>
      </c>
      <c r="F2305">
        <v>79000</v>
      </c>
      <c r="G2305" s="1">
        <v>1E-3</v>
      </c>
      <c r="H2305" s="1">
        <v>1E-3</v>
      </c>
      <c r="I2305" s="1">
        <v>1E-3</v>
      </c>
      <c r="J2305" s="1">
        <v>0.40670000000000001</v>
      </c>
    </row>
    <row r="2306" spans="1:10" x14ac:dyDescent="0.2">
      <c r="A2306" t="str">
        <f>"07/05/2017"</f>
        <v>07/05/2017</v>
      </c>
      <c r="B2306">
        <v>1</v>
      </c>
      <c r="C2306">
        <v>78000</v>
      </c>
      <c r="D2306">
        <v>170705</v>
      </c>
      <c r="E2306">
        <v>78000</v>
      </c>
      <c r="F2306">
        <v>78000</v>
      </c>
      <c r="G2306" s="1">
        <v>1E-3</v>
      </c>
      <c r="H2306" s="1">
        <v>1E-3</v>
      </c>
      <c r="I2306" s="1">
        <v>1E-3</v>
      </c>
      <c r="J2306" s="1">
        <v>0.37909999999999999</v>
      </c>
    </row>
    <row r="2307" spans="1:10" x14ac:dyDescent="0.2">
      <c r="A2307" t="str">
        <f>"04/05/2017"</f>
        <v>04/05/2017</v>
      </c>
      <c r="B2307">
        <v>3</v>
      </c>
      <c r="C2307">
        <v>76000</v>
      </c>
      <c r="D2307">
        <v>176211</v>
      </c>
      <c r="E2307">
        <v>76000</v>
      </c>
      <c r="F2307">
        <v>76000</v>
      </c>
      <c r="G2307" s="1">
        <v>1E-3</v>
      </c>
      <c r="H2307" s="1">
        <v>1E-3</v>
      </c>
      <c r="I2307" s="1">
        <v>1E-3</v>
      </c>
      <c r="J2307" s="1">
        <v>0.35189999999999999</v>
      </c>
    </row>
    <row r="2308" spans="1:10" x14ac:dyDescent="0.2">
      <c r="A2308" t="str">
        <f>"03/05/2017"</f>
        <v>03/05/2017</v>
      </c>
      <c r="B2308">
        <v>1</v>
      </c>
      <c r="C2308">
        <v>74000</v>
      </c>
      <c r="D2308">
        <v>172780</v>
      </c>
      <c r="E2308">
        <v>74000</v>
      </c>
      <c r="F2308">
        <v>74000</v>
      </c>
      <c r="G2308" s="1">
        <v>1E-3</v>
      </c>
      <c r="H2308" s="1">
        <v>1E-3</v>
      </c>
      <c r="I2308" s="1">
        <v>1E-3</v>
      </c>
      <c r="J2308" s="1">
        <v>0.33479999999999999</v>
      </c>
    </row>
    <row r="2309" spans="1:10" x14ac:dyDescent="0.2">
      <c r="A2309" t="str">
        <f>"30/04/2017"</f>
        <v>30/04/2017</v>
      </c>
      <c r="B2309">
        <v>3</v>
      </c>
      <c r="C2309">
        <v>72000</v>
      </c>
      <c r="D2309">
        <v>155635</v>
      </c>
      <c r="E2309">
        <v>72000</v>
      </c>
      <c r="F2309">
        <v>72000</v>
      </c>
      <c r="G2309" s="1">
        <v>1E-3</v>
      </c>
      <c r="H2309" s="1">
        <v>1E-3</v>
      </c>
      <c r="I2309" s="1">
        <v>1E-3</v>
      </c>
      <c r="J2309" s="1">
        <v>0.38250000000000001</v>
      </c>
    </row>
    <row r="2310" spans="1:10" x14ac:dyDescent="0.2">
      <c r="A2310" t="str">
        <f>"27/04/2017"</f>
        <v>27/04/2017</v>
      </c>
      <c r="B2310">
        <v>3</v>
      </c>
      <c r="C2310">
        <v>68000</v>
      </c>
      <c r="D2310">
        <v>145697</v>
      </c>
      <c r="E2310">
        <v>68000</v>
      </c>
      <c r="F2310">
        <v>68000</v>
      </c>
      <c r="G2310" s="1">
        <v>1E-3</v>
      </c>
      <c r="H2310" s="1">
        <v>1E-3</v>
      </c>
      <c r="I2310" s="1">
        <v>1E-3</v>
      </c>
      <c r="J2310" s="1">
        <v>0.38069999999999998</v>
      </c>
    </row>
    <row r="2311" spans="1:10" x14ac:dyDescent="0.2">
      <c r="A2311" t="str">
        <f>"26/04/2017"</f>
        <v>26/04/2017</v>
      </c>
      <c r="B2311">
        <v>1</v>
      </c>
      <c r="C2311">
        <v>69000</v>
      </c>
      <c r="D2311">
        <v>140908</v>
      </c>
      <c r="E2311">
        <v>69000</v>
      </c>
      <c r="F2311">
        <v>69000</v>
      </c>
      <c r="G2311" s="1">
        <v>1E-3</v>
      </c>
      <c r="H2311" s="1">
        <v>1E-3</v>
      </c>
      <c r="I2311" s="1">
        <v>1E-3</v>
      </c>
      <c r="J2311" s="1">
        <v>0.42080000000000001</v>
      </c>
    </row>
    <row r="2312" spans="1:10" x14ac:dyDescent="0.2">
      <c r="A2312" t="str">
        <f>"25/04/2017"</f>
        <v>25/04/2017</v>
      </c>
      <c r="B2312">
        <v>1</v>
      </c>
      <c r="C2312">
        <v>71000</v>
      </c>
      <c r="D2312">
        <v>123563</v>
      </c>
      <c r="E2312">
        <v>71000</v>
      </c>
      <c r="F2312">
        <v>71000</v>
      </c>
      <c r="G2312" s="1">
        <v>1E-3</v>
      </c>
      <c r="H2312" s="1">
        <v>1E-3</v>
      </c>
      <c r="I2312" s="1">
        <v>1E-3</v>
      </c>
      <c r="J2312" s="1">
        <v>0.51129999999999998</v>
      </c>
    </row>
    <row r="2313" spans="1:10" x14ac:dyDescent="0.2">
      <c r="A2313" t="str">
        <f>"24/04/2017"</f>
        <v>24/04/2017</v>
      </c>
      <c r="B2313">
        <v>1</v>
      </c>
      <c r="C2313">
        <v>81000</v>
      </c>
      <c r="D2313">
        <v>125587</v>
      </c>
      <c r="E2313">
        <v>81000</v>
      </c>
      <c r="F2313">
        <v>81000</v>
      </c>
      <c r="G2313" s="1">
        <v>1E-3</v>
      </c>
      <c r="H2313" s="1">
        <v>1E-3</v>
      </c>
      <c r="I2313" s="1">
        <v>1E-3</v>
      </c>
      <c r="J2313" s="1">
        <v>0.58589999999999998</v>
      </c>
    </row>
    <row r="2314" spans="1:10" x14ac:dyDescent="0.2">
      <c r="A2314" t="str">
        <f>"23/04/2017"</f>
        <v>23/04/2017</v>
      </c>
      <c r="B2314">
        <v>1</v>
      </c>
      <c r="C2314">
        <v>82000</v>
      </c>
      <c r="D2314">
        <v>113797</v>
      </c>
      <c r="E2314">
        <v>82000</v>
      </c>
      <c r="F2314">
        <v>82000</v>
      </c>
      <c r="G2314" s="1">
        <v>1E-3</v>
      </c>
      <c r="H2314" s="1">
        <v>1E-3</v>
      </c>
      <c r="I2314" s="1">
        <v>1E-3</v>
      </c>
      <c r="J2314" s="1">
        <v>0.67700000000000005</v>
      </c>
    </row>
    <row r="2315" spans="1:10" x14ac:dyDescent="0.2">
      <c r="A2315" t="str">
        <f>"20/04/2017"</f>
        <v>20/04/2017</v>
      </c>
      <c r="B2315">
        <v>3</v>
      </c>
      <c r="C2315">
        <v>82000</v>
      </c>
      <c r="D2315">
        <v>90271</v>
      </c>
      <c r="E2315">
        <v>82000</v>
      </c>
      <c r="F2315">
        <v>82000</v>
      </c>
      <c r="G2315" s="1">
        <v>1E-3</v>
      </c>
      <c r="H2315" s="1">
        <v>1E-3</v>
      </c>
      <c r="I2315" s="1">
        <v>1E-3</v>
      </c>
      <c r="J2315" s="1">
        <v>0.89080000000000004</v>
      </c>
    </row>
    <row r="2316" spans="1:10" x14ac:dyDescent="0.2">
      <c r="A2316" t="str">
        <f>"19/04/2017"</f>
        <v>19/04/2017</v>
      </c>
      <c r="B2316">
        <v>1</v>
      </c>
      <c r="C2316">
        <v>83000</v>
      </c>
      <c r="D2316">
        <v>73944</v>
      </c>
      <c r="E2316">
        <v>73944</v>
      </c>
      <c r="F2316">
        <v>73944</v>
      </c>
      <c r="G2316" s="1">
        <v>1E-3</v>
      </c>
      <c r="H2316" s="1">
        <v>1E-3</v>
      </c>
      <c r="I2316" s="1">
        <v>1E-3</v>
      </c>
      <c r="J2316" s="1">
        <v>1</v>
      </c>
    </row>
    <row r="2317" spans="1:10" x14ac:dyDescent="0.2">
      <c r="A2317" t="str">
        <f>"18/04/2017"</f>
        <v>18/04/2017</v>
      </c>
      <c r="B2317">
        <v>1</v>
      </c>
      <c r="C2317">
        <v>85000</v>
      </c>
      <c r="D2317">
        <v>83862</v>
      </c>
      <c r="E2317">
        <v>83862</v>
      </c>
      <c r="F2317">
        <v>83862</v>
      </c>
      <c r="G2317" s="1">
        <v>1E-3</v>
      </c>
      <c r="H2317" s="1">
        <v>1E-3</v>
      </c>
      <c r="I2317" s="1">
        <v>1E-3</v>
      </c>
      <c r="J2317" s="1">
        <v>1</v>
      </c>
    </row>
    <row r="2318" spans="1:10" x14ac:dyDescent="0.2">
      <c r="A2318" t="str">
        <f>"13/04/2017"</f>
        <v>13/04/2017</v>
      </c>
      <c r="B2318">
        <v>5</v>
      </c>
      <c r="C2318">
        <v>82000</v>
      </c>
      <c r="D2318">
        <v>74263</v>
      </c>
      <c r="E2318">
        <v>74263</v>
      </c>
      <c r="F2318">
        <v>74263</v>
      </c>
      <c r="G2318" s="1">
        <v>1E-3</v>
      </c>
      <c r="H2318" s="1">
        <v>1E-3</v>
      </c>
      <c r="I2318" s="1">
        <v>1E-3</v>
      </c>
      <c r="J2318" s="1">
        <v>1</v>
      </c>
    </row>
    <row r="2319" spans="1:10" x14ac:dyDescent="0.2">
      <c r="A2319" t="str">
        <f>"12/04/2017"</f>
        <v>12/04/2017</v>
      </c>
      <c r="B2319">
        <v>1</v>
      </c>
      <c r="C2319">
        <v>85000</v>
      </c>
      <c r="D2319">
        <v>76026</v>
      </c>
      <c r="E2319">
        <v>76026</v>
      </c>
      <c r="F2319">
        <v>76026</v>
      </c>
      <c r="G2319" s="1">
        <v>1E-3</v>
      </c>
      <c r="H2319" s="1">
        <v>1E-3</v>
      </c>
      <c r="I2319" s="1">
        <v>1E-3</v>
      </c>
      <c r="J2319" s="1">
        <v>1</v>
      </c>
    </row>
    <row r="2320" spans="1:10" x14ac:dyDescent="0.2">
      <c r="A2320" t="str">
        <f>"09/04/2017"</f>
        <v>09/04/2017</v>
      </c>
      <c r="B2320">
        <v>3</v>
      </c>
      <c r="C2320">
        <v>82000</v>
      </c>
      <c r="D2320">
        <v>187160</v>
      </c>
      <c r="E2320">
        <v>82000</v>
      </c>
      <c r="F2320">
        <v>82000</v>
      </c>
      <c r="G2320" s="1">
        <v>1E-3</v>
      </c>
      <c r="H2320" s="1">
        <v>1E-3</v>
      </c>
      <c r="I2320" s="1">
        <v>1E-3</v>
      </c>
      <c r="J2320" s="1">
        <v>0.3468</v>
      </c>
    </row>
    <row r="2321" spans="1:10" x14ac:dyDescent="0.2">
      <c r="A2321" t="str">
        <f>"06/04/2017"</f>
        <v>06/04/2017</v>
      </c>
      <c r="B2321">
        <v>3</v>
      </c>
      <c r="C2321">
        <v>81000</v>
      </c>
      <c r="D2321">
        <v>203533</v>
      </c>
      <c r="E2321">
        <v>81000</v>
      </c>
      <c r="F2321">
        <v>81000</v>
      </c>
      <c r="G2321" s="1">
        <v>1E-3</v>
      </c>
      <c r="H2321" s="1">
        <v>1E-3</v>
      </c>
      <c r="I2321" s="1">
        <v>1E-3</v>
      </c>
      <c r="J2321" s="1">
        <v>0.31159999999999999</v>
      </c>
    </row>
    <row r="2322" spans="1:10" x14ac:dyDescent="0.2">
      <c r="A2322" t="str">
        <f>"05/04/2017"</f>
        <v>05/04/2017</v>
      </c>
      <c r="B2322">
        <v>1</v>
      </c>
      <c r="C2322">
        <v>81000</v>
      </c>
      <c r="D2322">
        <v>221444</v>
      </c>
      <c r="E2322">
        <v>81000</v>
      </c>
      <c r="F2322">
        <v>81000</v>
      </c>
      <c r="G2322" s="1">
        <v>1E-3</v>
      </c>
      <c r="H2322" s="1">
        <v>1E-3</v>
      </c>
      <c r="I2322" s="1">
        <v>1E-3</v>
      </c>
      <c r="J2322" s="1">
        <v>0.28179999999999999</v>
      </c>
    </row>
    <row r="2323" spans="1:10" x14ac:dyDescent="0.2">
      <c r="A2323" t="str">
        <f>"04/04/2017"</f>
        <v>04/04/2017</v>
      </c>
      <c r="B2323">
        <v>1</v>
      </c>
      <c r="C2323">
        <v>79000</v>
      </c>
      <c r="D2323">
        <v>213851</v>
      </c>
      <c r="E2323">
        <v>79000</v>
      </c>
      <c r="F2323">
        <v>79000</v>
      </c>
      <c r="G2323" s="1">
        <v>1E-3</v>
      </c>
      <c r="H2323" s="1">
        <v>1E-3</v>
      </c>
      <c r="I2323" s="1">
        <v>1E-3</v>
      </c>
      <c r="J2323" s="1">
        <v>0.2964</v>
      </c>
    </row>
    <row r="2324" spans="1:10" x14ac:dyDescent="0.2">
      <c r="A2324" t="str">
        <f>"03/04/2017"</f>
        <v>03/04/2017</v>
      </c>
      <c r="B2324">
        <v>1</v>
      </c>
      <c r="C2324">
        <v>78000</v>
      </c>
      <c r="D2324">
        <v>196865</v>
      </c>
      <c r="E2324">
        <v>78000</v>
      </c>
      <c r="F2324">
        <v>78000</v>
      </c>
      <c r="G2324" s="1">
        <v>1E-3</v>
      </c>
      <c r="H2324" s="1">
        <v>1E-3</v>
      </c>
      <c r="I2324" s="1">
        <v>1E-3</v>
      </c>
      <c r="J2324" s="1">
        <v>0.3039</v>
      </c>
    </row>
    <row r="2325" spans="1:10" x14ac:dyDescent="0.2">
      <c r="A2325" t="str">
        <f>"02/04/2017"</f>
        <v>02/04/2017</v>
      </c>
      <c r="B2325">
        <v>1</v>
      </c>
      <c r="C2325">
        <v>75000</v>
      </c>
      <c r="D2325">
        <v>176632</v>
      </c>
      <c r="E2325">
        <v>75000</v>
      </c>
      <c r="F2325">
        <v>75000</v>
      </c>
      <c r="G2325" s="1">
        <v>1E-3</v>
      </c>
      <c r="H2325" s="1">
        <v>1E-3</v>
      </c>
      <c r="I2325" s="1">
        <v>1E-3</v>
      </c>
      <c r="J2325" s="1">
        <v>0.33229999999999998</v>
      </c>
    </row>
    <row r="2326" spans="1:10" x14ac:dyDescent="0.2">
      <c r="A2326" t="str">
        <f>"30/03/2017"</f>
        <v>30/03/2017</v>
      </c>
      <c r="B2326">
        <v>3</v>
      </c>
      <c r="C2326">
        <v>67000</v>
      </c>
      <c r="D2326">
        <v>173552</v>
      </c>
      <c r="E2326">
        <v>67000</v>
      </c>
      <c r="F2326">
        <v>67000</v>
      </c>
      <c r="G2326" s="1">
        <v>1E-3</v>
      </c>
      <c r="H2326" s="1">
        <v>1E-3</v>
      </c>
      <c r="I2326" s="1">
        <v>1E-3</v>
      </c>
      <c r="J2326" s="1">
        <v>0.31159999999999999</v>
      </c>
    </row>
    <row r="2327" spans="1:10" x14ac:dyDescent="0.2">
      <c r="A2327" t="str">
        <f>"29/03/2017"</f>
        <v>29/03/2017</v>
      </c>
      <c r="B2327">
        <v>1</v>
      </c>
      <c r="C2327">
        <v>70000</v>
      </c>
      <c r="D2327">
        <v>170600</v>
      </c>
      <c r="E2327">
        <v>70000</v>
      </c>
      <c r="F2327">
        <v>70000</v>
      </c>
      <c r="G2327" s="1">
        <v>1E-3</v>
      </c>
      <c r="H2327" s="1">
        <v>1E-3</v>
      </c>
      <c r="I2327" s="1">
        <v>1E-3</v>
      </c>
      <c r="J2327" s="1">
        <v>0.33150000000000002</v>
      </c>
    </row>
    <row r="2328" spans="1:10" x14ac:dyDescent="0.2">
      <c r="A2328" t="str">
        <f>"28/03/2017"</f>
        <v>28/03/2017</v>
      </c>
      <c r="B2328">
        <v>1</v>
      </c>
      <c r="C2328">
        <v>70000</v>
      </c>
      <c r="D2328">
        <v>164234</v>
      </c>
      <c r="E2328">
        <v>70000</v>
      </c>
      <c r="F2328">
        <v>70000</v>
      </c>
      <c r="G2328" s="1">
        <v>1E-3</v>
      </c>
      <c r="H2328" s="1">
        <v>1E-3</v>
      </c>
      <c r="I2328" s="1">
        <v>1E-3</v>
      </c>
      <c r="J2328" s="1">
        <v>0.34329999999999999</v>
      </c>
    </row>
    <row r="2329" spans="1:10" x14ac:dyDescent="0.2">
      <c r="A2329" t="str">
        <f>"27/03/2017"</f>
        <v>27/03/2017</v>
      </c>
      <c r="B2329">
        <v>1</v>
      </c>
      <c r="C2329">
        <v>68000</v>
      </c>
      <c r="D2329">
        <v>160205</v>
      </c>
      <c r="E2329">
        <v>68000</v>
      </c>
      <c r="F2329">
        <v>68000</v>
      </c>
      <c r="G2329" s="1">
        <v>1E-3</v>
      </c>
      <c r="H2329" s="1">
        <v>1E-3</v>
      </c>
      <c r="I2329" s="1">
        <v>1E-3</v>
      </c>
      <c r="J2329" s="1">
        <v>0.34920000000000001</v>
      </c>
    </row>
    <row r="2330" spans="1:10" x14ac:dyDescent="0.2">
      <c r="A2330" t="str">
        <f>"26/03/2017"</f>
        <v>26/03/2017</v>
      </c>
      <c r="B2330">
        <v>1</v>
      </c>
      <c r="C2330">
        <v>68000</v>
      </c>
      <c r="D2330">
        <v>163837</v>
      </c>
      <c r="E2330">
        <v>68000</v>
      </c>
      <c r="F2330">
        <v>68000</v>
      </c>
      <c r="G2330" s="1">
        <v>1E-3</v>
      </c>
      <c r="H2330" s="1">
        <v>1E-3</v>
      </c>
      <c r="I2330" s="1">
        <v>1E-3</v>
      </c>
      <c r="J2330" s="1">
        <v>0.3498</v>
      </c>
    </row>
    <row r="2331" spans="1:10" x14ac:dyDescent="0.2">
      <c r="A2331" t="str">
        <f>"23/03/2017"</f>
        <v>23/03/2017</v>
      </c>
      <c r="B2331">
        <v>3</v>
      </c>
      <c r="C2331">
        <v>67000</v>
      </c>
      <c r="D2331">
        <v>158096</v>
      </c>
      <c r="E2331">
        <v>67000</v>
      </c>
      <c r="F2331">
        <v>67000</v>
      </c>
      <c r="G2331" s="1">
        <v>1E-3</v>
      </c>
      <c r="H2331" s="1">
        <v>1E-3</v>
      </c>
      <c r="I2331" s="1">
        <v>1E-3</v>
      </c>
      <c r="J2331" s="1">
        <v>0.35489999999999999</v>
      </c>
    </row>
    <row r="2332" spans="1:10" x14ac:dyDescent="0.2">
      <c r="A2332" t="str">
        <f>"22/03/2017"</f>
        <v>22/03/2017</v>
      </c>
      <c r="B2332">
        <v>1</v>
      </c>
      <c r="C2332">
        <v>65000</v>
      </c>
      <c r="D2332">
        <v>153624</v>
      </c>
      <c r="E2332">
        <v>65000</v>
      </c>
      <c r="F2332">
        <v>65000</v>
      </c>
      <c r="G2332" s="1">
        <v>1E-3</v>
      </c>
      <c r="H2332" s="1">
        <v>1E-3</v>
      </c>
      <c r="I2332" s="1">
        <v>1E-3</v>
      </c>
      <c r="J2332" s="1">
        <v>0.35239999999999999</v>
      </c>
    </row>
    <row r="2333" spans="1:10" x14ac:dyDescent="0.2">
      <c r="A2333" t="str">
        <f>"21/03/2017"</f>
        <v>21/03/2017</v>
      </c>
      <c r="B2333">
        <v>1</v>
      </c>
      <c r="C2333">
        <v>66000</v>
      </c>
      <c r="D2333">
        <v>145245</v>
      </c>
      <c r="E2333">
        <v>66000</v>
      </c>
      <c r="F2333">
        <v>66000</v>
      </c>
      <c r="G2333" s="1">
        <v>1E-3</v>
      </c>
      <c r="H2333" s="1">
        <v>1E-3</v>
      </c>
      <c r="I2333" s="1">
        <v>1E-3</v>
      </c>
      <c r="J2333" s="1">
        <v>0.3851</v>
      </c>
    </row>
    <row r="2334" spans="1:10" x14ac:dyDescent="0.2">
      <c r="A2334" t="str">
        <f>"20/03/2017"</f>
        <v>20/03/2017</v>
      </c>
      <c r="B2334">
        <v>1</v>
      </c>
      <c r="C2334">
        <v>67000</v>
      </c>
      <c r="D2334">
        <v>146326</v>
      </c>
      <c r="E2334">
        <v>67000</v>
      </c>
      <c r="F2334">
        <v>67000</v>
      </c>
      <c r="G2334" s="1">
        <v>1E-3</v>
      </c>
      <c r="H2334" s="1">
        <v>1E-3</v>
      </c>
      <c r="I2334" s="1">
        <v>1E-3</v>
      </c>
      <c r="J2334" s="1">
        <v>0.40350000000000003</v>
      </c>
    </row>
    <row r="2335" spans="1:10" x14ac:dyDescent="0.2">
      <c r="A2335" t="str">
        <f>"19/03/2017"</f>
        <v>19/03/2017</v>
      </c>
      <c r="B2335">
        <v>1</v>
      </c>
      <c r="C2335">
        <v>69000</v>
      </c>
      <c r="D2335">
        <v>143391</v>
      </c>
      <c r="E2335">
        <v>69000</v>
      </c>
      <c r="F2335">
        <v>69000</v>
      </c>
      <c r="G2335" s="1">
        <v>1E-3</v>
      </c>
      <c r="H2335" s="1">
        <v>1E-3</v>
      </c>
      <c r="I2335" s="1">
        <v>1E-3</v>
      </c>
      <c r="J2335" s="1">
        <v>0.42109999999999997</v>
      </c>
    </row>
    <row r="2336" spans="1:10" x14ac:dyDescent="0.2">
      <c r="A2336" t="str">
        <f>"16/03/2017"</f>
        <v>16/03/2017</v>
      </c>
      <c r="B2336">
        <v>3</v>
      </c>
      <c r="C2336">
        <v>72000</v>
      </c>
      <c r="D2336">
        <v>148837</v>
      </c>
      <c r="E2336">
        <v>72000</v>
      </c>
      <c r="F2336">
        <v>72000</v>
      </c>
      <c r="G2336" s="1">
        <v>1E-3</v>
      </c>
      <c r="H2336" s="1">
        <v>1E-3</v>
      </c>
      <c r="I2336" s="1">
        <v>1E-3</v>
      </c>
      <c r="J2336" s="1">
        <v>0.42120000000000002</v>
      </c>
    </row>
    <row r="2337" spans="1:10" x14ac:dyDescent="0.2">
      <c r="A2337" t="str">
        <f>"15/03/2017"</f>
        <v>15/03/2017</v>
      </c>
      <c r="B2337">
        <v>1</v>
      </c>
      <c r="C2337">
        <v>78000</v>
      </c>
      <c r="D2337">
        <v>157734</v>
      </c>
      <c r="E2337">
        <v>78000</v>
      </c>
      <c r="F2337">
        <v>78000</v>
      </c>
      <c r="G2337" s="1">
        <v>1E-3</v>
      </c>
      <c r="H2337" s="1">
        <v>1E-3</v>
      </c>
      <c r="I2337" s="1">
        <v>1E-3</v>
      </c>
      <c r="J2337" s="1">
        <v>0.43280000000000002</v>
      </c>
    </row>
    <row r="2338" spans="1:10" x14ac:dyDescent="0.2">
      <c r="A2338" t="str">
        <f>"14/03/2017"</f>
        <v>14/03/2017</v>
      </c>
      <c r="B2338">
        <v>1</v>
      </c>
      <c r="C2338">
        <v>78000</v>
      </c>
      <c r="D2338">
        <v>151442</v>
      </c>
      <c r="E2338">
        <v>78000</v>
      </c>
      <c r="F2338">
        <v>78000</v>
      </c>
      <c r="G2338" s="1">
        <v>1E-3</v>
      </c>
      <c r="H2338" s="1">
        <v>1E-3</v>
      </c>
      <c r="I2338" s="1">
        <v>1E-3</v>
      </c>
      <c r="J2338" s="1">
        <v>0.45639999999999997</v>
      </c>
    </row>
    <row r="2339" spans="1:10" x14ac:dyDescent="0.2">
      <c r="A2339" t="str">
        <f>"13/03/2017"</f>
        <v>13/03/2017</v>
      </c>
      <c r="B2339">
        <v>1</v>
      </c>
      <c r="C2339">
        <v>79000</v>
      </c>
      <c r="D2339">
        <v>148565</v>
      </c>
      <c r="E2339">
        <v>79000</v>
      </c>
      <c r="F2339">
        <v>79000</v>
      </c>
      <c r="G2339" s="1">
        <v>1E-3</v>
      </c>
      <c r="H2339" s="1">
        <v>1E-3</v>
      </c>
      <c r="I2339" s="1">
        <v>1E-3</v>
      </c>
      <c r="J2339" s="1">
        <v>0.46939999999999998</v>
      </c>
    </row>
    <row r="2340" spans="1:10" x14ac:dyDescent="0.2">
      <c r="A2340" t="str">
        <f>"09/03/2017"</f>
        <v>09/03/2017</v>
      </c>
      <c r="B2340">
        <v>4</v>
      </c>
      <c r="C2340">
        <v>79000</v>
      </c>
      <c r="D2340">
        <v>143478</v>
      </c>
      <c r="E2340">
        <v>79000</v>
      </c>
      <c r="F2340">
        <v>79000</v>
      </c>
      <c r="G2340" s="1">
        <v>1E-3</v>
      </c>
      <c r="H2340" s="1">
        <v>1E-3</v>
      </c>
      <c r="I2340" s="1">
        <v>1E-3</v>
      </c>
      <c r="J2340" s="1">
        <v>0.49559999999999998</v>
      </c>
    </row>
    <row r="2341" spans="1:10" x14ac:dyDescent="0.2">
      <c r="A2341" t="str">
        <f>"08/03/2017"</f>
        <v>08/03/2017</v>
      </c>
      <c r="B2341">
        <v>1</v>
      </c>
      <c r="C2341">
        <v>79000</v>
      </c>
      <c r="D2341">
        <v>138352</v>
      </c>
      <c r="E2341">
        <v>79000</v>
      </c>
      <c r="F2341">
        <v>79000</v>
      </c>
      <c r="G2341" s="1">
        <v>1E-3</v>
      </c>
      <c r="H2341" s="1">
        <v>1E-3</v>
      </c>
      <c r="I2341" s="1">
        <v>1E-3</v>
      </c>
      <c r="J2341" s="1">
        <v>0.5121</v>
      </c>
    </row>
    <row r="2342" spans="1:10" x14ac:dyDescent="0.2">
      <c r="A2342" t="str">
        <f>"07/03/2017"</f>
        <v>07/03/2017</v>
      </c>
      <c r="B2342">
        <v>1</v>
      </c>
      <c r="C2342">
        <v>78000</v>
      </c>
      <c r="D2342">
        <v>120205</v>
      </c>
      <c r="E2342">
        <v>78000</v>
      </c>
      <c r="F2342">
        <v>78000</v>
      </c>
      <c r="G2342" s="1">
        <v>1E-3</v>
      </c>
      <c r="H2342" s="1">
        <v>1E-3</v>
      </c>
      <c r="I2342" s="1">
        <v>1E-3</v>
      </c>
      <c r="J2342" s="1">
        <v>0.59009999999999996</v>
      </c>
    </row>
    <row r="2343" spans="1:10" x14ac:dyDescent="0.2">
      <c r="A2343" t="str">
        <f>"06/03/2017"</f>
        <v>06/03/2017</v>
      </c>
      <c r="B2343">
        <v>1</v>
      </c>
      <c r="C2343">
        <v>78000</v>
      </c>
      <c r="D2343">
        <v>106394</v>
      </c>
      <c r="E2343">
        <v>78000</v>
      </c>
      <c r="F2343">
        <v>78000</v>
      </c>
      <c r="G2343" s="1">
        <v>1E-3</v>
      </c>
      <c r="H2343" s="1">
        <v>1E-3</v>
      </c>
      <c r="I2343" s="1">
        <v>1E-3</v>
      </c>
      <c r="J2343" s="1">
        <v>0.68049999999999999</v>
      </c>
    </row>
    <row r="2344" spans="1:10" x14ac:dyDescent="0.2">
      <c r="A2344" t="str">
        <f>"05/03/2017"</f>
        <v>05/03/2017</v>
      </c>
      <c r="B2344">
        <v>1</v>
      </c>
      <c r="C2344">
        <v>77000</v>
      </c>
      <c r="D2344">
        <v>100096</v>
      </c>
      <c r="E2344">
        <v>77000</v>
      </c>
      <c r="F2344">
        <v>77000</v>
      </c>
      <c r="G2344" s="1">
        <v>1E-3</v>
      </c>
      <c r="H2344" s="1">
        <v>1E-3</v>
      </c>
      <c r="I2344" s="1">
        <v>1E-3</v>
      </c>
      <c r="J2344" s="1">
        <v>0.73560000000000003</v>
      </c>
    </row>
    <row r="2345" spans="1:10" x14ac:dyDescent="0.2">
      <c r="A2345" t="str">
        <f>"02/03/2017"</f>
        <v>02/03/2017</v>
      </c>
      <c r="B2345">
        <v>3</v>
      </c>
      <c r="C2345">
        <v>77000</v>
      </c>
      <c r="D2345">
        <v>92925</v>
      </c>
      <c r="E2345">
        <v>77000</v>
      </c>
      <c r="F2345">
        <v>77000</v>
      </c>
      <c r="G2345" s="1">
        <v>1E-3</v>
      </c>
      <c r="H2345" s="1">
        <v>1E-3</v>
      </c>
      <c r="I2345" s="1">
        <v>1E-3</v>
      </c>
      <c r="J2345" s="1">
        <v>0.80110000000000003</v>
      </c>
    </row>
    <row r="2346" spans="1:10" x14ac:dyDescent="0.2">
      <c r="A2346" t="str">
        <f>"01/03/2017"</f>
        <v>01/03/2017</v>
      </c>
      <c r="B2346">
        <v>1</v>
      </c>
      <c r="C2346">
        <v>73000</v>
      </c>
      <c r="D2346">
        <v>64541</v>
      </c>
      <c r="E2346">
        <v>64541</v>
      </c>
      <c r="F2346">
        <v>64541</v>
      </c>
      <c r="G2346" s="1">
        <v>1E-3</v>
      </c>
      <c r="H2346" s="1">
        <v>8.9999999999999998E-4</v>
      </c>
      <c r="I2346" s="1">
        <v>8.9999999999999998E-4</v>
      </c>
      <c r="J2346" s="1">
        <v>1</v>
      </c>
    </row>
    <row r="2347" spans="1:10" x14ac:dyDescent="0.2">
      <c r="A2347" t="str">
        <f>"28/02/2017"</f>
        <v>28/02/2017</v>
      </c>
      <c r="B2347">
        <v>1</v>
      </c>
      <c r="C2347">
        <v>70000</v>
      </c>
      <c r="D2347">
        <v>82397</v>
      </c>
      <c r="E2347">
        <v>70000</v>
      </c>
      <c r="F2347">
        <v>70000</v>
      </c>
      <c r="G2347" s="1">
        <v>1E-3</v>
      </c>
      <c r="H2347" s="1">
        <v>1E-3</v>
      </c>
      <c r="I2347" s="1">
        <v>1E-3</v>
      </c>
      <c r="J2347" s="1">
        <v>0.76049999999999995</v>
      </c>
    </row>
    <row r="2348" spans="1:10" x14ac:dyDescent="0.2">
      <c r="A2348" t="str">
        <f>"27/02/2017"</f>
        <v>27/02/2017</v>
      </c>
      <c r="B2348">
        <v>1</v>
      </c>
      <c r="C2348">
        <v>53000</v>
      </c>
      <c r="D2348">
        <v>64615</v>
      </c>
      <c r="E2348">
        <v>53000</v>
      </c>
      <c r="F2348">
        <v>53000</v>
      </c>
      <c r="G2348" s="1">
        <v>1E-3</v>
      </c>
      <c r="H2348" s="1">
        <v>1E-3</v>
      </c>
      <c r="I2348" s="1">
        <v>1E-3</v>
      </c>
      <c r="J2348" s="1">
        <v>0.7823</v>
      </c>
    </row>
    <row r="2349" spans="1:10" x14ac:dyDescent="0.2">
      <c r="A2349" t="str">
        <f>"26/02/2017"</f>
        <v>26/02/2017</v>
      </c>
      <c r="B2349">
        <v>1</v>
      </c>
      <c r="C2349">
        <v>53000</v>
      </c>
      <c r="D2349">
        <v>59551</v>
      </c>
      <c r="E2349">
        <v>53000</v>
      </c>
      <c r="F2349">
        <v>53000</v>
      </c>
      <c r="G2349" s="1">
        <v>1E-3</v>
      </c>
      <c r="H2349" s="1">
        <v>1E-3</v>
      </c>
      <c r="I2349" s="1">
        <v>1E-3</v>
      </c>
      <c r="J2349" s="1">
        <v>0.86750000000000005</v>
      </c>
    </row>
    <row r="2350" spans="1:10" x14ac:dyDescent="0.2">
      <c r="A2350" t="str">
        <f>"23/02/2017"</f>
        <v>23/02/2017</v>
      </c>
      <c r="B2350">
        <v>3</v>
      </c>
      <c r="C2350">
        <v>54000</v>
      </c>
      <c r="D2350">
        <v>66330</v>
      </c>
      <c r="E2350">
        <v>54000</v>
      </c>
      <c r="F2350">
        <v>54000</v>
      </c>
      <c r="G2350" s="1">
        <v>1E-3</v>
      </c>
      <c r="H2350" s="1">
        <v>1E-3</v>
      </c>
      <c r="I2350" s="1">
        <v>1E-3</v>
      </c>
      <c r="J2350" s="1">
        <v>0.77559999999999996</v>
      </c>
    </row>
    <row r="2351" spans="1:10" x14ac:dyDescent="0.2">
      <c r="A2351" t="str">
        <f>"22/02/2017"</f>
        <v>22/02/2017</v>
      </c>
      <c r="B2351">
        <v>1</v>
      </c>
      <c r="C2351">
        <v>54000</v>
      </c>
      <c r="D2351">
        <v>77485</v>
      </c>
      <c r="E2351">
        <v>54000</v>
      </c>
      <c r="F2351">
        <v>54000</v>
      </c>
      <c r="G2351" s="1">
        <v>1E-3</v>
      </c>
      <c r="H2351" s="1">
        <v>1E-3</v>
      </c>
      <c r="I2351" s="1">
        <v>1E-3</v>
      </c>
      <c r="J2351" s="1">
        <v>0.64649999999999996</v>
      </c>
    </row>
    <row r="2352" spans="1:10" x14ac:dyDescent="0.2">
      <c r="A2352" t="str">
        <f>"21/02/2017"</f>
        <v>21/02/2017</v>
      </c>
      <c r="B2352">
        <v>1</v>
      </c>
      <c r="C2352">
        <v>55000</v>
      </c>
      <c r="D2352">
        <v>90005</v>
      </c>
      <c r="E2352">
        <v>55000</v>
      </c>
      <c r="F2352">
        <v>55000</v>
      </c>
      <c r="G2352" s="1">
        <v>1E-3</v>
      </c>
      <c r="H2352" s="1">
        <v>1E-3</v>
      </c>
      <c r="I2352" s="1">
        <v>1E-3</v>
      </c>
      <c r="J2352" s="1">
        <v>0.55459999999999998</v>
      </c>
    </row>
    <row r="2353" spans="1:10" x14ac:dyDescent="0.2">
      <c r="A2353" t="str">
        <f>"20/02/2017"</f>
        <v>20/02/2017</v>
      </c>
      <c r="B2353">
        <v>1</v>
      </c>
      <c r="C2353">
        <v>57000</v>
      </c>
      <c r="D2353">
        <v>96288</v>
      </c>
      <c r="E2353">
        <v>57000</v>
      </c>
      <c r="F2353">
        <v>57000</v>
      </c>
      <c r="G2353" s="1">
        <v>1E-3</v>
      </c>
      <c r="H2353" s="1">
        <v>1E-3</v>
      </c>
      <c r="I2353" s="1">
        <v>1E-3</v>
      </c>
      <c r="J2353" s="1">
        <v>0.53090000000000004</v>
      </c>
    </row>
    <row r="2354" spans="1:10" x14ac:dyDescent="0.2">
      <c r="A2354" t="str">
        <f>"19/02/2017"</f>
        <v>19/02/2017</v>
      </c>
      <c r="B2354">
        <v>1</v>
      </c>
      <c r="C2354">
        <v>58000</v>
      </c>
      <c r="D2354">
        <v>95700</v>
      </c>
      <c r="E2354">
        <v>58000</v>
      </c>
      <c r="F2354">
        <v>58000</v>
      </c>
      <c r="G2354" s="1">
        <v>1E-3</v>
      </c>
      <c r="H2354" s="1">
        <v>1E-3</v>
      </c>
      <c r="I2354" s="1">
        <v>1E-3</v>
      </c>
      <c r="J2354" s="1">
        <v>0.53610000000000002</v>
      </c>
    </row>
    <row r="2355" spans="1:10" x14ac:dyDescent="0.2">
      <c r="A2355" t="str">
        <f>"16/02/2017"</f>
        <v>16/02/2017</v>
      </c>
      <c r="B2355">
        <v>3</v>
      </c>
      <c r="C2355">
        <v>61000</v>
      </c>
      <c r="D2355">
        <v>106031</v>
      </c>
      <c r="E2355">
        <v>61000</v>
      </c>
      <c r="F2355">
        <v>61000</v>
      </c>
      <c r="G2355" s="1">
        <v>1E-3</v>
      </c>
      <c r="H2355" s="1">
        <v>1E-3</v>
      </c>
      <c r="I2355" s="1">
        <v>1E-3</v>
      </c>
      <c r="J2355" s="1">
        <v>0.50839999999999996</v>
      </c>
    </row>
    <row r="2356" spans="1:10" x14ac:dyDescent="0.2">
      <c r="A2356" t="str">
        <f>"15/02/2017"</f>
        <v>15/02/2017</v>
      </c>
      <c r="B2356">
        <v>1</v>
      </c>
      <c r="C2356">
        <v>66000</v>
      </c>
      <c r="D2356">
        <v>119619</v>
      </c>
      <c r="E2356">
        <v>66000</v>
      </c>
      <c r="F2356">
        <v>66000</v>
      </c>
      <c r="G2356" s="1">
        <v>1E-3</v>
      </c>
      <c r="H2356" s="1">
        <v>1E-3</v>
      </c>
      <c r="I2356" s="1">
        <v>1E-3</v>
      </c>
      <c r="J2356" s="1">
        <v>0.47960000000000003</v>
      </c>
    </row>
    <row r="2357" spans="1:10" x14ac:dyDescent="0.2">
      <c r="A2357" t="str">
        <f>"14/02/2017"</f>
        <v>14/02/2017</v>
      </c>
      <c r="B2357">
        <v>1</v>
      </c>
      <c r="C2357">
        <v>68000</v>
      </c>
      <c r="D2357">
        <v>127377</v>
      </c>
      <c r="E2357">
        <v>68000</v>
      </c>
      <c r="F2357">
        <v>68000</v>
      </c>
      <c r="G2357" s="1">
        <v>1E-3</v>
      </c>
      <c r="H2357" s="1">
        <v>1E-3</v>
      </c>
      <c r="I2357" s="1">
        <v>1E-3</v>
      </c>
      <c r="J2357" s="1">
        <v>0.46500000000000002</v>
      </c>
    </row>
    <row r="2358" spans="1:10" x14ac:dyDescent="0.2">
      <c r="A2358" t="str">
        <f>"13/02/2017"</f>
        <v>13/02/2017</v>
      </c>
      <c r="B2358">
        <v>1</v>
      </c>
      <c r="C2358">
        <v>70000</v>
      </c>
      <c r="D2358">
        <v>133472</v>
      </c>
      <c r="E2358">
        <v>70000</v>
      </c>
      <c r="F2358">
        <v>70000</v>
      </c>
      <c r="G2358" s="1">
        <v>1E-3</v>
      </c>
      <c r="H2358" s="1">
        <v>1E-3</v>
      </c>
      <c r="I2358" s="1">
        <v>1E-3</v>
      </c>
      <c r="J2358" s="1">
        <v>0.45889999999999997</v>
      </c>
    </row>
    <row r="2359" spans="1:10" x14ac:dyDescent="0.2">
      <c r="A2359" t="str">
        <f>"12/02/2017"</f>
        <v>12/02/2017</v>
      </c>
      <c r="B2359">
        <v>1</v>
      </c>
      <c r="C2359">
        <v>71000</v>
      </c>
      <c r="D2359">
        <v>147915</v>
      </c>
      <c r="E2359">
        <v>71000</v>
      </c>
      <c r="F2359">
        <v>71000</v>
      </c>
      <c r="G2359" s="1">
        <v>1E-3</v>
      </c>
      <c r="H2359" s="1">
        <v>1E-3</v>
      </c>
      <c r="I2359" s="1">
        <v>1E-3</v>
      </c>
      <c r="J2359" s="1">
        <v>0.42299999999999999</v>
      </c>
    </row>
    <row r="2360" spans="1:10" x14ac:dyDescent="0.2">
      <c r="A2360" t="str">
        <f>"09/02/2017"</f>
        <v>09/02/2017</v>
      </c>
      <c r="B2360">
        <v>3</v>
      </c>
      <c r="C2360">
        <v>72000</v>
      </c>
      <c r="D2360">
        <v>159857</v>
      </c>
      <c r="E2360">
        <v>72000</v>
      </c>
      <c r="F2360">
        <v>72000</v>
      </c>
      <c r="G2360" s="1">
        <v>1E-3</v>
      </c>
      <c r="H2360" s="1">
        <v>1E-3</v>
      </c>
      <c r="I2360" s="1">
        <v>1E-3</v>
      </c>
      <c r="J2360" s="1">
        <v>0.39119999999999999</v>
      </c>
    </row>
    <row r="2361" spans="1:10" x14ac:dyDescent="0.2">
      <c r="A2361" t="str">
        <f>"08/02/2017"</f>
        <v>08/02/2017</v>
      </c>
      <c r="B2361">
        <v>1</v>
      </c>
      <c r="C2361">
        <v>72000</v>
      </c>
      <c r="D2361">
        <v>167905</v>
      </c>
      <c r="E2361">
        <v>72000</v>
      </c>
      <c r="F2361">
        <v>72000</v>
      </c>
      <c r="G2361" s="1">
        <v>1E-3</v>
      </c>
      <c r="H2361" s="1">
        <v>1E-3</v>
      </c>
      <c r="I2361" s="1">
        <v>1E-3</v>
      </c>
      <c r="J2361" s="1">
        <v>0.34539999999999998</v>
      </c>
    </row>
    <row r="2362" spans="1:10" x14ac:dyDescent="0.2">
      <c r="A2362" t="str">
        <f>"07/02/2017"</f>
        <v>07/02/2017</v>
      </c>
      <c r="B2362">
        <v>1</v>
      </c>
      <c r="C2362">
        <v>71000</v>
      </c>
      <c r="D2362">
        <v>173735</v>
      </c>
      <c r="E2362">
        <v>71000</v>
      </c>
      <c r="F2362">
        <v>71000</v>
      </c>
      <c r="G2362" s="1">
        <v>1E-3</v>
      </c>
      <c r="H2362" s="1">
        <v>1E-3</v>
      </c>
      <c r="I2362" s="1">
        <v>1E-3</v>
      </c>
      <c r="J2362" s="1">
        <v>0.34339999999999998</v>
      </c>
    </row>
    <row r="2363" spans="1:10" x14ac:dyDescent="0.2">
      <c r="A2363" t="str">
        <f>"06/02/2017"</f>
        <v>06/02/2017</v>
      </c>
      <c r="B2363">
        <v>1</v>
      </c>
      <c r="C2363">
        <v>71000</v>
      </c>
      <c r="D2363">
        <v>166432</v>
      </c>
      <c r="E2363">
        <v>71000</v>
      </c>
      <c r="F2363">
        <v>71000</v>
      </c>
      <c r="G2363" s="1">
        <v>1E-3</v>
      </c>
      <c r="H2363" s="1">
        <v>1E-3</v>
      </c>
      <c r="I2363" s="1">
        <v>1E-3</v>
      </c>
      <c r="J2363" s="1">
        <v>0.35859999999999997</v>
      </c>
    </row>
    <row r="2364" spans="1:10" x14ac:dyDescent="0.2">
      <c r="A2364" t="str">
        <f>"05/02/2017"</f>
        <v>05/02/2017</v>
      </c>
      <c r="B2364">
        <v>1</v>
      </c>
      <c r="C2364">
        <v>71000</v>
      </c>
      <c r="D2364">
        <v>162606</v>
      </c>
      <c r="E2364">
        <v>71000</v>
      </c>
      <c r="F2364">
        <v>71000</v>
      </c>
      <c r="G2364" s="1">
        <v>1E-3</v>
      </c>
      <c r="H2364" s="1">
        <v>1E-3</v>
      </c>
      <c r="I2364" s="1">
        <v>1E-3</v>
      </c>
      <c r="J2364" s="1">
        <v>0.37230000000000002</v>
      </c>
    </row>
    <row r="2365" spans="1:10" x14ac:dyDescent="0.2">
      <c r="A2365" t="str">
        <f>"02/02/2017"</f>
        <v>02/02/2017</v>
      </c>
      <c r="B2365">
        <v>3</v>
      </c>
      <c r="C2365">
        <v>70000</v>
      </c>
      <c r="D2365">
        <v>147713</v>
      </c>
      <c r="E2365">
        <v>70000</v>
      </c>
      <c r="F2365">
        <v>70000</v>
      </c>
      <c r="G2365" s="1">
        <v>1E-3</v>
      </c>
      <c r="H2365" s="1">
        <v>1E-3</v>
      </c>
      <c r="I2365" s="1">
        <v>1E-3</v>
      </c>
      <c r="J2365" s="1">
        <v>0.4022</v>
      </c>
    </row>
    <row r="2366" spans="1:10" x14ac:dyDescent="0.2">
      <c r="A2366" t="str">
        <f>"01/02/2017"</f>
        <v>01/02/2017</v>
      </c>
      <c r="B2366">
        <v>1</v>
      </c>
      <c r="C2366">
        <v>69000</v>
      </c>
      <c r="D2366">
        <v>131182</v>
      </c>
      <c r="E2366">
        <v>69000</v>
      </c>
      <c r="F2366">
        <v>69000</v>
      </c>
      <c r="G2366" s="1">
        <v>1E-3</v>
      </c>
      <c r="H2366" s="1">
        <v>1E-3</v>
      </c>
      <c r="I2366" s="1">
        <v>1E-3</v>
      </c>
      <c r="J2366" s="1">
        <v>0.42770000000000002</v>
      </c>
    </row>
    <row r="2367" spans="1:10" x14ac:dyDescent="0.2">
      <c r="A2367" t="str">
        <f>"31/01/2017"</f>
        <v>31/01/2017</v>
      </c>
      <c r="B2367">
        <v>1</v>
      </c>
      <c r="C2367">
        <v>60000</v>
      </c>
      <c r="D2367">
        <v>114220</v>
      </c>
      <c r="E2367">
        <v>60000</v>
      </c>
      <c r="F2367">
        <v>60000</v>
      </c>
      <c r="G2367" s="1">
        <v>1E-3</v>
      </c>
      <c r="H2367" s="1">
        <v>1E-3</v>
      </c>
      <c r="I2367" s="1">
        <v>1E-3</v>
      </c>
      <c r="J2367" s="1">
        <v>0.46689999999999998</v>
      </c>
    </row>
    <row r="2368" spans="1:10" x14ac:dyDescent="0.2">
      <c r="A2368" t="str">
        <f>"30/01/2017"</f>
        <v>30/01/2017</v>
      </c>
      <c r="B2368">
        <v>1</v>
      </c>
      <c r="C2368">
        <v>56000</v>
      </c>
      <c r="D2368">
        <v>84530</v>
      </c>
      <c r="E2368">
        <v>56000</v>
      </c>
      <c r="F2368">
        <v>56000</v>
      </c>
      <c r="G2368" s="1">
        <v>1E-3</v>
      </c>
      <c r="H2368" s="1">
        <v>1E-3</v>
      </c>
      <c r="I2368" s="1">
        <v>1E-3</v>
      </c>
      <c r="J2368" s="1">
        <v>0.59389999999999998</v>
      </c>
    </row>
    <row r="2369" spans="1:10" x14ac:dyDescent="0.2">
      <c r="A2369" t="str">
        <f>"29/01/2017"</f>
        <v>29/01/2017</v>
      </c>
      <c r="B2369">
        <v>1</v>
      </c>
      <c r="C2369">
        <v>55000</v>
      </c>
      <c r="D2369">
        <v>75154</v>
      </c>
      <c r="E2369">
        <v>55000</v>
      </c>
      <c r="F2369">
        <v>55000</v>
      </c>
      <c r="G2369" s="1">
        <v>1E-3</v>
      </c>
      <c r="H2369" s="1">
        <v>1E-3</v>
      </c>
      <c r="I2369" s="1">
        <v>1E-3</v>
      </c>
      <c r="J2369" s="1">
        <v>0.67469999999999997</v>
      </c>
    </row>
    <row r="2370" spans="1:10" x14ac:dyDescent="0.2">
      <c r="A2370" t="str">
        <f>"26/01/2017"</f>
        <v>26/01/2017</v>
      </c>
      <c r="B2370">
        <v>3</v>
      </c>
      <c r="C2370">
        <v>54000</v>
      </c>
      <c r="D2370">
        <v>64498</v>
      </c>
      <c r="E2370">
        <v>54000</v>
      </c>
      <c r="F2370">
        <v>54000</v>
      </c>
      <c r="G2370" s="1">
        <v>1E-3</v>
      </c>
      <c r="H2370" s="1">
        <v>1E-3</v>
      </c>
      <c r="I2370" s="1">
        <v>1E-3</v>
      </c>
      <c r="J2370" s="1">
        <v>0.79320000000000002</v>
      </c>
    </row>
    <row r="2371" spans="1:10" x14ac:dyDescent="0.2">
      <c r="A2371" t="str">
        <f>"25/01/2017"</f>
        <v>25/01/2017</v>
      </c>
      <c r="B2371">
        <v>1</v>
      </c>
      <c r="C2371">
        <v>53000</v>
      </c>
      <c r="D2371">
        <v>47290</v>
      </c>
      <c r="E2371">
        <v>47290</v>
      </c>
      <c r="F2371">
        <v>47290</v>
      </c>
      <c r="G2371" s="1">
        <v>1E-3</v>
      </c>
      <c r="H2371" s="1">
        <v>1E-3</v>
      </c>
      <c r="I2371" s="1">
        <v>1E-3</v>
      </c>
      <c r="J2371" s="1">
        <v>1</v>
      </c>
    </row>
    <row r="2372" spans="1:10" x14ac:dyDescent="0.2">
      <c r="A2372" t="str">
        <f>"24/01/2017"</f>
        <v>24/01/2017</v>
      </c>
      <c r="B2372">
        <v>1</v>
      </c>
      <c r="C2372">
        <v>50000</v>
      </c>
      <c r="D2372">
        <v>55086</v>
      </c>
      <c r="E2372">
        <v>50000</v>
      </c>
      <c r="F2372">
        <v>50000</v>
      </c>
      <c r="G2372" s="1">
        <v>1E-3</v>
      </c>
      <c r="H2372" s="1">
        <v>1E-3</v>
      </c>
      <c r="I2372" s="1">
        <v>1E-3</v>
      </c>
      <c r="J2372" s="1">
        <v>0.85819999999999996</v>
      </c>
    </row>
    <row r="2373" spans="1:10" x14ac:dyDescent="0.2">
      <c r="A2373" t="str">
        <f>"23/01/2017"</f>
        <v>23/01/2017</v>
      </c>
      <c r="B2373">
        <v>1</v>
      </c>
      <c r="C2373">
        <v>52000</v>
      </c>
      <c r="D2373">
        <v>52978</v>
      </c>
      <c r="E2373">
        <v>52000</v>
      </c>
      <c r="F2373">
        <v>52000</v>
      </c>
      <c r="G2373" s="1">
        <v>1E-3</v>
      </c>
      <c r="H2373" s="1">
        <v>1E-3</v>
      </c>
      <c r="I2373" s="1">
        <v>1E-3</v>
      </c>
      <c r="J2373" s="1">
        <v>0.97660000000000002</v>
      </c>
    </row>
    <row r="2374" spans="1:10" x14ac:dyDescent="0.2">
      <c r="A2374" t="str">
        <f>"22/01/2017"</f>
        <v>22/01/2017</v>
      </c>
      <c r="B2374">
        <v>1</v>
      </c>
      <c r="C2374">
        <v>56000</v>
      </c>
      <c r="D2374">
        <v>61706</v>
      </c>
      <c r="E2374">
        <v>56000</v>
      </c>
      <c r="F2374">
        <v>56000</v>
      </c>
      <c r="G2374" s="1">
        <v>1E-3</v>
      </c>
      <c r="H2374" s="1">
        <v>1E-3</v>
      </c>
      <c r="I2374" s="1">
        <v>1E-3</v>
      </c>
      <c r="J2374" s="1">
        <v>0.88719999999999999</v>
      </c>
    </row>
    <row r="2375" spans="1:10" x14ac:dyDescent="0.2">
      <c r="A2375" t="str">
        <f>"19/01/2017"</f>
        <v>19/01/2017</v>
      </c>
      <c r="B2375">
        <v>3</v>
      </c>
      <c r="C2375">
        <v>60000</v>
      </c>
      <c r="D2375">
        <v>75535</v>
      </c>
      <c r="E2375">
        <v>60000</v>
      </c>
      <c r="F2375">
        <v>60000</v>
      </c>
      <c r="G2375" s="1">
        <v>1E-3</v>
      </c>
      <c r="H2375" s="1">
        <v>1E-3</v>
      </c>
      <c r="I2375" s="1">
        <v>1E-3</v>
      </c>
      <c r="J2375" s="1">
        <v>0.73750000000000004</v>
      </c>
    </row>
    <row r="2376" spans="1:10" x14ac:dyDescent="0.2">
      <c r="A2376" t="str">
        <f>"18/01/2017"</f>
        <v>18/01/2017</v>
      </c>
      <c r="B2376">
        <v>1</v>
      </c>
      <c r="C2376">
        <v>59000</v>
      </c>
      <c r="D2376">
        <v>82194</v>
      </c>
      <c r="E2376">
        <v>59000</v>
      </c>
      <c r="F2376">
        <v>59000</v>
      </c>
      <c r="G2376" s="1">
        <v>1E-3</v>
      </c>
      <c r="H2376" s="1">
        <v>1E-3</v>
      </c>
      <c r="I2376" s="1">
        <v>1E-3</v>
      </c>
      <c r="J2376" s="1">
        <v>0.66790000000000005</v>
      </c>
    </row>
    <row r="2377" spans="1:10" x14ac:dyDescent="0.2">
      <c r="A2377" t="str">
        <f>"17/01/2017"</f>
        <v>17/01/2017</v>
      </c>
      <c r="B2377">
        <v>1</v>
      </c>
      <c r="C2377">
        <v>62000</v>
      </c>
      <c r="D2377">
        <v>107203</v>
      </c>
      <c r="E2377">
        <v>62000</v>
      </c>
      <c r="F2377">
        <v>62000</v>
      </c>
      <c r="G2377" s="1">
        <v>1E-3</v>
      </c>
      <c r="H2377" s="1">
        <v>1E-3</v>
      </c>
      <c r="I2377" s="1">
        <v>1E-3</v>
      </c>
      <c r="J2377" s="1">
        <v>0.53510000000000002</v>
      </c>
    </row>
    <row r="2378" spans="1:10" x14ac:dyDescent="0.2">
      <c r="A2378" t="str">
        <f>"16/01/2017"</f>
        <v>16/01/2017</v>
      </c>
      <c r="B2378">
        <v>1</v>
      </c>
      <c r="C2378">
        <v>66000</v>
      </c>
      <c r="D2378">
        <v>127003</v>
      </c>
      <c r="E2378">
        <v>66000</v>
      </c>
      <c r="F2378">
        <v>66000</v>
      </c>
      <c r="G2378" s="1">
        <v>1E-3</v>
      </c>
      <c r="H2378" s="1">
        <v>1E-3</v>
      </c>
      <c r="I2378" s="1">
        <v>1E-3</v>
      </c>
      <c r="J2378" s="1">
        <v>0.47039999999999998</v>
      </c>
    </row>
    <row r="2379" spans="1:10" x14ac:dyDescent="0.2">
      <c r="A2379" t="str">
        <f>"15/01/2017"</f>
        <v>15/01/2017</v>
      </c>
      <c r="B2379">
        <v>1</v>
      </c>
      <c r="C2379">
        <v>73000</v>
      </c>
      <c r="D2379">
        <v>155218</v>
      </c>
      <c r="E2379">
        <v>73000</v>
      </c>
      <c r="F2379">
        <v>73000</v>
      </c>
      <c r="G2379" s="1">
        <v>1E-3</v>
      </c>
      <c r="H2379" s="1">
        <v>1E-3</v>
      </c>
      <c r="I2379" s="1">
        <v>1E-3</v>
      </c>
      <c r="J2379" s="1">
        <v>0.4204</v>
      </c>
    </row>
    <row r="2380" spans="1:10" x14ac:dyDescent="0.2">
      <c r="A2380" t="str">
        <f>"12/01/2017"</f>
        <v>12/01/2017</v>
      </c>
      <c r="B2380">
        <v>3</v>
      </c>
      <c r="C2380">
        <v>75000</v>
      </c>
      <c r="D2380">
        <v>157109</v>
      </c>
      <c r="E2380">
        <v>75000</v>
      </c>
      <c r="F2380">
        <v>75000</v>
      </c>
      <c r="G2380" s="1">
        <v>1E-3</v>
      </c>
      <c r="H2380" s="1">
        <v>1E-3</v>
      </c>
      <c r="I2380" s="1">
        <v>1E-3</v>
      </c>
      <c r="J2380" s="1">
        <v>0.41909999999999997</v>
      </c>
    </row>
    <row r="2381" spans="1:10" x14ac:dyDescent="0.2">
      <c r="A2381" t="str">
        <f>"11/01/2017"</f>
        <v>11/01/2017</v>
      </c>
      <c r="B2381">
        <v>1</v>
      </c>
      <c r="C2381">
        <v>76000</v>
      </c>
      <c r="D2381">
        <v>164141</v>
      </c>
      <c r="E2381">
        <v>76000</v>
      </c>
      <c r="F2381">
        <v>76000</v>
      </c>
      <c r="G2381" s="1">
        <v>1E-3</v>
      </c>
      <c r="H2381" s="1">
        <v>1E-3</v>
      </c>
      <c r="I2381" s="1">
        <v>1E-3</v>
      </c>
      <c r="J2381" s="1">
        <v>0.39040000000000002</v>
      </c>
    </row>
    <row r="2382" spans="1:10" x14ac:dyDescent="0.2">
      <c r="A2382" t="str">
        <f>"10/01/2017"</f>
        <v>10/01/2017</v>
      </c>
      <c r="B2382">
        <v>1</v>
      </c>
      <c r="C2382">
        <v>77000</v>
      </c>
      <c r="D2382">
        <v>165438</v>
      </c>
      <c r="E2382">
        <v>77000</v>
      </c>
      <c r="F2382">
        <v>77000</v>
      </c>
      <c r="G2382" s="1">
        <v>1E-3</v>
      </c>
      <c r="H2382" s="1">
        <v>1E-3</v>
      </c>
      <c r="I2382" s="1">
        <v>1E-3</v>
      </c>
      <c r="J2382" s="1">
        <v>0.39900000000000002</v>
      </c>
    </row>
    <row r="2383" spans="1:10" x14ac:dyDescent="0.2">
      <c r="A2383" t="str">
        <f>"09/01/2017"</f>
        <v>09/01/2017</v>
      </c>
      <c r="B2383">
        <v>1</v>
      </c>
      <c r="C2383">
        <v>78000</v>
      </c>
      <c r="D2383">
        <v>172750</v>
      </c>
      <c r="E2383">
        <v>78000</v>
      </c>
      <c r="F2383">
        <v>78000</v>
      </c>
      <c r="G2383" s="1">
        <v>1E-3</v>
      </c>
      <c r="H2383" s="1">
        <v>1E-3</v>
      </c>
      <c r="I2383" s="1">
        <v>1E-3</v>
      </c>
      <c r="J2383" s="1">
        <v>0.38009999999999999</v>
      </c>
    </row>
    <row r="2384" spans="1:10" x14ac:dyDescent="0.2">
      <c r="A2384" t="str">
        <f>"08/01/2017"</f>
        <v>08/01/2017</v>
      </c>
      <c r="B2384">
        <v>1</v>
      </c>
      <c r="C2384">
        <v>78000</v>
      </c>
      <c r="D2384">
        <v>169901</v>
      </c>
      <c r="E2384">
        <v>78000</v>
      </c>
      <c r="F2384">
        <v>78000</v>
      </c>
      <c r="G2384" s="1">
        <v>1E-3</v>
      </c>
      <c r="H2384" s="1">
        <v>1E-3</v>
      </c>
      <c r="I2384" s="1">
        <v>1E-3</v>
      </c>
      <c r="J2384" s="1">
        <v>0.39179999999999998</v>
      </c>
    </row>
    <row r="2385" spans="1:10" x14ac:dyDescent="0.2">
      <c r="A2385" t="str">
        <f>"05/01/2017"</f>
        <v>05/01/2017</v>
      </c>
      <c r="B2385">
        <v>3</v>
      </c>
      <c r="C2385">
        <v>78000</v>
      </c>
      <c r="D2385">
        <v>176390</v>
      </c>
      <c r="E2385">
        <v>78000</v>
      </c>
      <c r="F2385">
        <v>78000</v>
      </c>
      <c r="G2385" s="1">
        <v>1E-3</v>
      </c>
      <c r="H2385" s="1">
        <v>1E-3</v>
      </c>
      <c r="I2385" s="1">
        <v>1E-3</v>
      </c>
      <c r="J2385" s="1">
        <v>0.38200000000000001</v>
      </c>
    </row>
    <row r="2386" spans="1:10" x14ac:dyDescent="0.2">
      <c r="A2386" t="str">
        <f>"04/01/2017"</f>
        <v>04/01/2017</v>
      </c>
      <c r="B2386">
        <v>1</v>
      </c>
      <c r="C2386">
        <v>78000</v>
      </c>
      <c r="D2386">
        <v>161782</v>
      </c>
      <c r="E2386">
        <v>78000</v>
      </c>
      <c r="F2386">
        <v>78000</v>
      </c>
      <c r="G2386" s="1">
        <v>1E-3</v>
      </c>
      <c r="H2386" s="1">
        <v>1E-3</v>
      </c>
      <c r="I2386" s="1">
        <v>1E-3</v>
      </c>
      <c r="J2386" s="1">
        <v>0.4123</v>
      </c>
    </row>
    <row r="2387" spans="1:10" x14ac:dyDescent="0.2">
      <c r="A2387" t="str">
        <f>"03/01/2017"</f>
        <v>03/01/2017</v>
      </c>
      <c r="B2387">
        <v>1</v>
      </c>
      <c r="C2387">
        <v>76000</v>
      </c>
      <c r="D2387">
        <v>142260</v>
      </c>
      <c r="E2387">
        <v>76000</v>
      </c>
      <c r="F2387">
        <v>76000</v>
      </c>
      <c r="G2387" s="1">
        <v>1E-3</v>
      </c>
      <c r="H2387" s="1">
        <v>1E-3</v>
      </c>
      <c r="I2387" s="1">
        <v>1E-3</v>
      </c>
      <c r="J2387" s="1">
        <v>0.47649999999999998</v>
      </c>
    </row>
    <row r="2388" spans="1:10" x14ac:dyDescent="0.2">
      <c r="A2388" t="str">
        <f>"02/01/2017"</f>
        <v>02/01/2017</v>
      </c>
      <c r="B2388">
        <v>1</v>
      </c>
      <c r="C2388">
        <v>76000</v>
      </c>
      <c r="D2388">
        <v>125906</v>
      </c>
      <c r="E2388">
        <v>76000</v>
      </c>
      <c r="F2388">
        <v>76000</v>
      </c>
      <c r="G2388" s="1">
        <v>1E-3</v>
      </c>
      <c r="H2388" s="1">
        <v>1E-3</v>
      </c>
      <c r="I2388" s="1">
        <v>1E-3</v>
      </c>
      <c r="J2388" s="1">
        <v>0.55520000000000003</v>
      </c>
    </row>
    <row r="2389" spans="1:10" x14ac:dyDescent="0.2">
      <c r="A2389" t="str">
        <f>"01/01/2017"</f>
        <v>01/01/2017</v>
      </c>
      <c r="B2389">
        <v>1</v>
      </c>
      <c r="C2389">
        <v>77000</v>
      </c>
      <c r="D2389">
        <v>109639</v>
      </c>
      <c r="E2389">
        <v>77000</v>
      </c>
      <c r="F2389">
        <v>77000</v>
      </c>
      <c r="G2389" s="1">
        <v>1E-3</v>
      </c>
      <c r="H2389" s="1">
        <v>1E-3</v>
      </c>
      <c r="I2389" s="1">
        <v>1E-3</v>
      </c>
      <c r="J2389" s="1">
        <v>0.66049999999999998</v>
      </c>
    </row>
    <row r="2390" spans="1:10" x14ac:dyDescent="0.2">
      <c r="A2390" t="str">
        <f>"29/12/2016"</f>
        <v>29/12/2016</v>
      </c>
      <c r="B2390">
        <v>3</v>
      </c>
      <c r="C2390">
        <v>72000</v>
      </c>
      <c r="D2390">
        <v>83540</v>
      </c>
      <c r="E2390">
        <v>72000</v>
      </c>
      <c r="F2390">
        <v>72000</v>
      </c>
      <c r="G2390" s="1">
        <v>1E-3</v>
      </c>
      <c r="H2390" s="1">
        <v>1E-3</v>
      </c>
      <c r="I2390" s="1">
        <v>1E-3</v>
      </c>
      <c r="J2390" s="1">
        <v>0.84019999999999995</v>
      </c>
    </row>
    <row r="2391" spans="1:10" x14ac:dyDescent="0.2">
      <c r="A2391" t="str">
        <f>"28/12/2016"</f>
        <v>28/12/2016</v>
      </c>
      <c r="B2391">
        <v>1</v>
      </c>
      <c r="C2391">
        <v>70000</v>
      </c>
      <c r="D2391">
        <v>64371</v>
      </c>
      <c r="E2391">
        <v>64371</v>
      </c>
      <c r="F2391">
        <v>64371</v>
      </c>
      <c r="G2391" s="1">
        <v>1E-3</v>
      </c>
      <c r="H2391" s="1">
        <v>1E-3</v>
      </c>
      <c r="I2391" s="1">
        <v>1E-3</v>
      </c>
      <c r="J2391" s="1">
        <v>1</v>
      </c>
    </row>
    <row r="2392" spans="1:10" x14ac:dyDescent="0.2">
      <c r="A2392" t="str">
        <f>"27/12/2016"</f>
        <v>27/12/2016</v>
      </c>
      <c r="B2392">
        <v>1</v>
      </c>
      <c r="C2392">
        <v>65000</v>
      </c>
      <c r="D2392">
        <v>109993</v>
      </c>
      <c r="E2392">
        <v>65000</v>
      </c>
      <c r="F2392">
        <v>65000</v>
      </c>
      <c r="G2392" s="1">
        <v>1E-3</v>
      </c>
      <c r="H2392" s="1">
        <v>1E-3</v>
      </c>
      <c r="I2392" s="1">
        <v>1E-3</v>
      </c>
      <c r="J2392" s="1">
        <v>0.48870000000000002</v>
      </c>
    </row>
    <row r="2393" spans="1:10" x14ac:dyDescent="0.2">
      <c r="A2393" t="str">
        <f>"26/12/2016"</f>
        <v>26/12/2016</v>
      </c>
      <c r="B2393">
        <v>1</v>
      </c>
      <c r="C2393">
        <v>64000</v>
      </c>
      <c r="D2393">
        <v>115572</v>
      </c>
      <c r="E2393">
        <v>64000</v>
      </c>
      <c r="F2393">
        <v>64000</v>
      </c>
      <c r="G2393" s="1">
        <v>1E-3</v>
      </c>
      <c r="H2393" s="1">
        <v>1E-3</v>
      </c>
      <c r="I2393" s="1">
        <v>1E-3</v>
      </c>
      <c r="J2393" s="1">
        <v>0.46850000000000003</v>
      </c>
    </row>
    <row r="2394" spans="1:10" x14ac:dyDescent="0.2">
      <c r="A2394" t="str">
        <f>"25/12/2016"</f>
        <v>25/12/2016</v>
      </c>
      <c r="B2394">
        <v>1</v>
      </c>
      <c r="C2394">
        <v>62000</v>
      </c>
      <c r="D2394">
        <v>136276</v>
      </c>
      <c r="E2394">
        <v>62000</v>
      </c>
      <c r="F2394">
        <v>62000</v>
      </c>
      <c r="G2394" s="1">
        <v>1E-3</v>
      </c>
      <c r="H2394" s="1">
        <v>1E-3</v>
      </c>
      <c r="I2394" s="1">
        <v>1E-3</v>
      </c>
      <c r="J2394" s="1">
        <v>0.38600000000000001</v>
      </c>
    </row>
    <row r="2395" spans="1:10" x14ac:dyDescent="0.2">
      <c r="A2395" t="str">
        <f>"22/12/2016"</f>
        <v>22/12/2016</v>
      </c>
      <c r="B2395">
        <v>3</v>
      </c>
      <c r="C2395">
        <v>62000</v>
      </c>
      <c r="D2395">
        <v>148724</v>
      </c>
      <c r="E2395">
        <v>62000</v>
      </c>
      <c r="F2395">
        <v>62000</v>
      </c>
      <c r="G2395" s="1">
        <v>1E-3</v>
      </c>
      <c r="H2395" s="1">
        <v>1E-3</v>
      </c>
      <c r="I2395" s="1">
        <v>1E-3</v>
      </c>
      <c r="J2395" s="1">
        <v>0.35410000000000003</v>
      </c>
    </row>
    <row r="2396" spans="1:10" x14ac:dyDescent="0.2">
      <c r="A2396" t="str">
        <f>"21/12/2016"</f>
        <v>21/12/2016</v>
      </c>
      <c r="B2396">
        <v>1</v>
      </c>
      <c r="C2396">
        <v>64000</v>
      </c>
      <c r="D2396">
        <v>161385</v>
      </c>
      <c r="E2396">
        <v>64000</v>
      </c>
      <c r="F2396">
        <v>64000</v>
      </c>
      <c r="G2396" s="1">
        <v>1E-3</v>
      </c>
      <c r="H2396" s="1">
        <v>1E-3</v>
      </c>
      <c r="I2396" s="1">
        <v>1E-3</v>
      </c>
      <c r="J2396" s="1">
        <v>0.32769999999999999</v>
      </c>
    </row>
    <row r="2397" spans="1:10" x14ac:dyDescent="0.2">
      <c r="A2397" t="str">
        <f>"20/12/2016"</f>
        <v>20/12/2016</v>
      </c>
      <c r="B2397">
        <v>1</v>
      </c>
      <c r="C2397">
        <v>61000</v>
      </c>
      <c r="D2397">
        <v>156289</v>
      </c>
      <c r="E2397">
        <v>61000</v>
      </c>
      <c r="F2397">
        <v>61000</v>
      </c>
      <c r="G2397" s="1">
        <v>1E-3</v>
      </c>
      <c r="H2397" s="1">
        <v>1E-3</v>
      </c>
      <c r="I2397" s="1">
        <v>1E-3</v>
      </c>
      <c r="J2397" s="1">
        <v>0.3241</v>
      </c>
    </row>
    <row r="2398" spans="1:10" x14ac:dyDescent="0.2">
      <c r="A2398" t="str">
        <f>"19/12/2016"</f>
        <v>19/12/2016</v>
      </c>
      <c r="B2398">
        <v>1</v>
      </c>
      <c r="C2398">
        <v>61000</v>
      </c>
      <c r="D2398">
        <v>154385</v>
      </c>
      <c r="E2398">
        <v>61000</v>
      </c>
      <c r="F2398">
        <v>61000</v>
      </c>
      <c r="G2398" s="1">
        <v>1E-3</v>
      </c>
      <c r="H2398" s="1">
        <v>1E-3</v>
      </c>
      <c r="I2398" s="1">
        <v>1E-3</v>
      </c>
      <c r="J2398" s="1">
        <v>0.32819999999999999</v>
      </c>
    </row>
    <row r="2399" spans="1:10" x14ac:dyDescent="0.2">
      <c r="A2399" t="str">
        <f>"18/12/2016"</f>
        <v>18/12/2016</v>
      </c>
      <c r="B2399">
        <v>1</v>
      </c>
      <c r="C2399">
        <v>62000</v>
      </c>
      <c r="D2399">
        <v>153895</v>
      </c>
      <c r="E2399">
        <v>62000</v>
      </c>
      <c r="F2399">
        <v>62000</v>
      </c>
      <c r="G2399" s="1">
        <v>1E-3</v>
      </c>
      <c r="H2399" s="1">
        <v>1E-3</v>
      </c>
      <c r="I2399" s="1">
        <v>1E-3</v>
      </c>
      <c r="J2399" s="1">
        <v>0.34279999999999999</v>
      </c>
    </row>
    <row r="2400" spans="1:10" x14ac:dyDescent="0.2">
      <c r="A2400" t="str">
        <f>"15/12/2016"</f>
        <v>15/12/2016</v>
      </c>
      <c r="B2400">
        <v>3</v>
      </c>
      <c r="C2400">
        <v>64000</v>
      </c>
      <c r="D2400">
        <v>154444</v>
      </c>
      <c r="E2400">
        <v>64000</v>
      </c>
      <c r="F2400">
        <v>64000</v>
      </c>
      <c r="G2400" s="1">
        <v>1E-3</v>
      </c>
      <c r="H2400" s="1">
        <v>1E-3</v>
      </c>
      <c r="I2400" s="1">
        <v>1E-3</v>
      </c>
      <c r="J2400" s="1">
        <v>0.36059999999999998</v>
      </c>
    </row>
    <row r="2401" spans="1:10" x14ac:dyDescent="0.2">
      <c r="A2401" t="str">
        <f>"15/12/2016"</f>
        <v>15/12/2016</v>
      </c>
      <c r="B2401">
        <v>1</v>
      </c>
      <c r="C2401">
        <v>10000</v>
      </c>
      <c r="D2401">
        <v>14700</v>
      </c>
      <c r="E2401">
        <v>10000</v>
      </c>
      <c r="F2401">
        <v>10000</v>
      </c>
      <c r="G2401" s="1">
        <v>1E-3</v>
      </c>
      <c r="H2401" s="1">
        <v>1E-3</v>
      </c>
      <c r="I2401" s="1">
        <v>1E-3</v>
      </c>
      <c r="J2401" s="1">
        <v>0.61480000000000001</v>
      </c>
    </row>
    <row r="2402" spans="1:10" x14ac:dyDescent="0.2">
      <c r="A2402" t="str">
        <f>"14/12/2016"</f>
        <v>14/12/2016</v>
      </c>
      <c r="B2402">
        <v>1</v>
      </c>
      <c r="C2402">
        <v>70000</v>
      </c>
      <c r="D2402">
        <v>175245</v>
      </c>
      <c r="E2402">
        <v>70000</v>
      </c>
      <c r="F2402">
        <v>70000</v>
      </c>
      <c r="G2402" s="1">
        <v>1E-3</v>
      </c>
      <c r="H2402" s="1">
        <v>1E-3</v>
      </c>
      <c r="I2402" s="1">
        <v>1E-3</v>
      </c>
      <c r="J2402" s="1">
        <v>0.34370000000000001</v>
      </c>
    </row>
    <row r="2403" spans="1:10" x14ac:dyDescent="0.2">
      <c r="A2403" t="str">
        <f>"13/12/2016"</f>
        <v>13/12/2016</v>
      </c>
      <c r="B2403">
        <v>1</v>
      </c>
      <c r="C2403">
        <v>70000</v>
      </c>
      <c r="D2403">
        <v>171651</v>
      </c>
      <c r="E2403">
        <v>70000</v>
      </c>
      <c r="F2403">
        <v>70000</v>
      </c>
      <c r="G2403" s="1">
        <v>1E-3</v>
      </c>
      <c r="H2403" s="1">
        <v>1E-3</v>
      </c>
      <c r="I2403" s="1">
        <v>1E-3</v>
      </c>
      <c r="J2403" s="1">
        <v>0.34810000000000002</v>
      </c>
    </row>
    <row r="2404" spans="1:10" x14ac:dyDescent="0.2">
      <c r="A2404" t="str">
        <f>"12/12/2016"</f>
        <v>12/12/2016</v>
      </c>
      <c r="B2404">
        <v>1</v>
      </c>
      <c r="C2404">
        <v>70000</v>
      </c>
      <c r="D2404">
        <v>177224</v>
      </c>
      <c r="E2404">
        <v>70000</v>
      </c>
      <c r="F2404">
        <v>70000</v>
      </c>
      <c r="G2404" s="1">
        <v>1E-3</v>
      </c>
      <c r="H2404" s="1">
        <v>1E-3</v>
      </c>
      <c r="I2404" s="1">
        <v>1E-3</v>
      </c>
      <c r="J2404" s="1">
        <v>0.33300000000000002</v>
      </c>
    </row>
    <row r="2405" spans="1:10" x14ac:dyDescent="0.2">
      <c r="A2405" t="str">
        <f>"11/12/2016"</f>
        <v>11/12/2016</v>
      </c>
      <c r="B2405">
        <v>1</v>
      </c>
      <c r="C2405">
        <v>69000</v>
      </c>
      <c r="D2405">
        <v>178207</v>
      </c>
      <c r="E2405">
        <v>69000</v>
      </c>
      <c r="F2405">
        <v>69000</v>
      </c>
      <c r="G2405" s="1">
        <v>1E-3</v>
      </c>
      <c r="H2405" s="1">
        <v>1E-3</v>
      </c>
      <c r="I2405" s="1">
        <v>1E-3</v>
      </c>
      <c r="J2405" s="1">
        <v>0.33279999999999998</v>
      </c>
    </row>
    <row r="2406" spans="1:10" x14ac:dyDescent="0.2">
      <c r="A2406" t="str">
        <f>"08/12/2016"</f>
        <v>08/12/2016</v>
      </c>
      <c r="B2406">
        <v>3</v>
      </c>
      <c r="C2406">
        <v>69000</v>
      </c>
      <c r="D2406">
        <v>183448</v>
      </c>
      <c r="E2406">
        <v>69000</v>
      </c>
      <c r="F2406">
        <v>69000</v>
      </c>
      <c r="G2406" s="1">
        <v>1E-3</v>
      </c>
      <c r="H2406" s="1">
        <v>1E-3</v>
      </c>
      <c r="I2406" s="1">
        <v>1E-3</v>
      </c>
      <c r="J2406" s="1">
        <v>0.31509999999999999</v>
      </c>
    </row>
    <row r="2407" spans="1:10" x14ac:dyDescent="0.2">
      <c r="A2407" t="str">
        <f>"07/12/2016"</f>
        <v>07/12/2016</v>
      </c>
      <c r="B2407">
        <v>1</v>
      </c>
      <c r="C2407">
        <v>68000</v>
      </c>
      <c r="D2407">
        <v>184675</v>
      </c>
      <c r="E2407">
        <v>68000</v>
      </c>
      <c r="F2407">
        <v>68000</v>
      </c>
      <c r="G2407" s="1">
        <v>1E-3</v>
      </c>
      <c r="H2407" s="1">
        <v>1E-3</v>
      </c>
      <c r="I2407" s="1">
        <v>1E-3</v>
      </c>
      <c r="J2407" s="1">
        <v>0.30649999999999999</v>
      </c>
    </row>
    <row r="2408" spans="1:10" x14ac:dyDescent="0.2">
      <c r="A2408" t="str">
        <f>"06/12/2016"</f>
        <v>06/12/2016</v>
      </c>
      <c r="B2408">
        <v>1</v>
      </c>
      <c r="C2408">
        <v>64000</v>
      </c>
      <c r="D2408">
        <v>148629</v>
      </c>
      <c r="E2408">
        <v>64000</v>
      </c>
      <c r="F2408">
        <v>64000</v>
      </c>
      <c r="G2408" s="1">
        <v>1E-3</v>
      </c>
      <c r="H2408" s="1">
        <v>1E-3</v>
      </c>
      <c r="I2408" s="1">
        <v>1E-3</v>
      </c>
      <c r="J2408" s="1">
        <v>0.37240000000000001</v>
      </c>
    </row>
    <row r="2409" spans="1:10" x14ac:dyDescent="0.2">
      <c r="A2409" t="str">
        <f>"05/12/2016"</f>
        <v>05/12/2016</v>
      </c>
      <c r="B2409">
        <v>1</v>
      </c>
      <c r="C2409">
        <v>65000</v>
      </c>
      <c r="D2409">
        <v>122825</v>
      </c>
      <c r="E2409">
        <v>65000</v>
      </c>
      <c r="F2409">
        <v>65000</v>
      </c>
      <c r="G2409" s="1">
        <v>1E-3</v>
      </c>
      <c r="H2409" s="1">
        <v>1E-3</v>
      </c>
      <c r="I2409" s="1">
        <v>1E-3</v>
      </c>
      <c r="J2409" s="1">
        <v>0.47360000000000002</v>
      </c>
    </row>
    <row r="2410" spans="1:10" x14ac:dyDescent="0.2">
      <c r="A2410" t="str">
        <f>"04/12/2016"</f>
        <v>04/12/2016</v>
      </c>
      <c r="B2410">
        <v>1</v>
      </c>
      <c r="C2410">
        <v>64000</v>
      </c>
      <c r="D2410">
        <v>98078</v>
      </c>
      <c r="E2410">
        <v>64000</v>
      </c>
      <c r="F2410">
        <v>64000</v>
      </c>
      <c r="G2410" s="1">
        <v>1E-3</v>
      </c>
      <c r="H2410" s="1">
        <v>1E-3</v>
      </c>
      <c r="I2410" s="1">
        <v>1E-3</v>
      </c>
      <c r="J2410" s="1">
        <v>0.59299999999999997</v>
      </c>
    </row>
    <row r="2411" spans="1:10" x14ac:dyDescent="0.2">
      <c r="A2411" t="str">
        <f>"01/12/2016"</f>
        <v>01/12/2016</v>
      </c>
      <c r="B2411">
        <v>3</v>
      </c>
      <c r="C2411">
        <v>64000</v>
      </c>
      <c r="D2411">
        <v>84685</v>
      </c>
      <c r="E2411">
        <v>64000</v>
      </c>
      <c r="F2411">
        <v>64000</v>
      </c>
      <c r="G2411" s="1">
        <v>1E-3</v>
      </c>
      <c r="H2411" s="1">
        <v>1E-3</v>
      </c>
      <c r="I2411" s="1">
        <v>1E-3</v>
      </c>
      <c r="J2411" s="1">
        <v>0.70830000000000004</v>
      </c>
    </row>
    <row r="2412" spans="1:10" x14ac:dyDescent="0.2">
      <c r="A2412" t="str">
        <f>"30/11/2016"</f>
        <v>30/11/2016</v>
      </c>
      <c r="B2412">
        <v>1</v>
      </c>
      <c r="C2412">
        <v>58000</v>
      </c>
      <c r="D2412">
        <v>54644</v>
      </c>
      <c r="E2412">
        <v>54644</v>
      </c>
      <c r="F2412">
        <v>54644</v>
      </c>
      <c r="G2412" s="1">
        <v>1E-3</v>
      </c>
      <c r="H2412" s="1">
        <v>1E-3</v>
      </c>
      <c r="I2412" s="1">
        <v>1E-3</v>
      </c>
      <c r="J2412" s="1">
        <v>1</v>
      </c>
    </row>
    <row r="2413" spans="1:10" x14ac:dyDescent="0.2">
      <c r="A2413" t="str">
        <f>"29/11/2016"</f>
        <v>29/11/2016</v>
      </c>
      <c r="B2413">
        <v>1</v>
      </c>
      <c r="C2413">
        <v>56000</v>
      </c>
      <c r="D2413">
        <v>66978</v>
      </c>
      <c r="E2413">
        <v>56000</v>
      </c>
      <c r="F2413">
        <v>56000</v>
      </c>
      <c r="G2413" s="1">
        <v>1E-3</v>
      </c>
      <c r="H2413" s="1">
        <v>1E-3</v>
      </c>
      <c r="I2413" s="1">
        <v>1E-3</v>
      </c>
      <c r="J2413" s="1">
        <v>0.76290000000000002</v>
      </c>
    </row>
    <row r="2414" spans="1:10" x14ac:dyDescent="0.2">
      <c r="A2414" t="str">
        <f>"28/11/2016"</f>
        <v>28/11/2016</v>
      </c>
      <c r="B2414">
        <v>1</v>
      </c>
      <c r="C2414">
        <v>56000</v>
      </c>
      <c r="D2414">
        <v>75337</v>
      </c>
      <c r="E2414">
        <v>56000</v>
      </c>
      <c r="F2414">
        <v>56000</v>
      </c>
      <c r="G2414" s="1">
        <v>1E-3</v>
      </c>
      <c r="H2414" s="1">
        <v>1E-3</v>
      </c>
      <c r="I2414" s="1">
        <v>1E-3</v>
      </c>
      <c r="J2414" s="1">
        <v>0.67059999999999997</v>
      </c>
    </row>
    <row r="2415" spans="1:10" x14ac:dyDescent="0.2">
      <c r="A2415" t="str">
        <f>"27/11/2016"</f>
        <v>27/11/2016</v>
      </c>
      <c r="B2415">
        <v>1</v>
      </c>
      <c r="C2415">
        <v>53000</v>
      </c>
      <c r="D2415">
        <v>88728</v>
      </c>
      <c r="E2415">
        <v>53000</v>
      </c>
      <c r="F2415">
        <v>53000</v>
      </c>
      <c r="G2415" s="1">
        <v>1E-3</v>
      </c>
      <c r="H2415" s="1">
        <v>1E-3</v>
      </c>
      <c r="I2415" s="1">
        <v>1E-3</v>
      </c>
      <c r="J2415" s="1">
        <v>0.53590000000000004</v>
      </c>
    </row>
    <row r="2416" spans="1:10" x14ac:dyDescent="0.2">
      <c r="A2416" t="str">
        <f>"24/11/2016"</f>
        <v>24/11/2016</v>
      </c>
      <c r="B2416">
        <v>3</v>
      </c>
      <c r="C2416">
        <v>53000</v>
      </c>
      <c r="D2416">
        <v>86809</v>
      </c>
      <c r="E2416">
        <v>53000</v>
      </c>
      <c r="F2416">
        <v>53000</v>
      </c>
      <c r="G2416" s="1">
        <v>1E-3</v>
      </c>
      <c r="H2416" s="1">
        <v>1E-3</v>
      </c>
      <c r="I2416" s="1">
        <v>1E-3</v>
      </c>
      <c r="J2416" s="1">
        <v>0.53420000000000001</v>
      </c>
    </row>
    <row r="2417" spans="1:10" x14ac:dyDescent="0.2">
      <c r="A2417" t="str">
        <f>"23/11/2016"</f>
        <v>23/11/2016</v>
      </c>
      <c r="B2417">
        <v>1</v>
      </c>
      <c r="C2417">
        <v>54000</v>
      </c>
      <c r="D2417">
        <v>96309</v>
      </c>
      <c r="E2417">
        <v>54000</v>
      </c>
      <c r="F2417">
        <v>54000</v>
      </c>
      <c r="G2417" s="1">
        <v>1E-3</v>
      </c>
      <c r="H2417" s="1">
        <v>1E-3</v>
      </c>
      <c r="I2417" s="1">
        <v>1E-3</v>
      </c>
      <c r="J2417" s="1">
        <v>0.49930000000000002</v>
      </c>
    </row>
    <row r="2418" spans="1:10" x14ac:dyDescent="0.2">
      <c r="A2418" t="str">
        <f>"22/11/2016"</f>
        <v>22/11/2016</v>
      </c>
      <c r="B2418">
        <v>1</v>
      </c>
      <c r="C2418">
        <v>55000</v>
      </c>
      <c r="D2418">
        <v>94808</v>
      </c>
      <c r="E2418">
        <v>55000</v>
      </c>
      <c r="F2418">
        <v>55000</v>
      </c>
      <c r="G2418" s="1">
        <v>1E-3</v>
      </c>
      <c r="H2418" s="1">
        <v>1E-3</v>
      </c>
      <c r="I2418" s="1">
        <v>1E-3</v>
      </c>
      <c r="J2418" s="1">
        <v>0.51390000000000002</v>
      </c>
    </row>
    <row r="2419" spans="1:10" x14ac:dyDescent="0.2">
      <c r="A2419" t="str">
        <f>"21/11/2016"</f>
        <v>21/11/2016</v>
      </c>
      <c r="B2419">
        <v>1</v>
      </c>
      <c r="C2419">
        <v>56000</v>
      </c>
      <c r="D2419">
        <v>91922</v>
      </c>
      <c r="E2419">
        <v>56000</v>
      </c>
      <c r="F2419">
        <v>56000</v>
      </c>
      <c r="G2419" s="1">
        <v>1E-3</v>
      </c>
      <c r="H2419" s="1">
        <v>1E-3</v>
      </c>
      <c r="I2419" s="1">
        <v>1E-3</v>
      </c>
      <c r="J2419" s="1">
        <v>0.54669999999999996</v>
      </c>
    </row>
    <row r="2420" spans="1:10" x14ac:dyDescent="0.2">
      <c r="A2420" t="str">
        <f>"20/11/2016"</f>
        <v>20/11/2016</v>
      </c>
      <c r="B2420">
        <v>1</v>
      </c>
      <c r="C2420">
        <v>56000</v>
      </c>
      <c r="D2420">
        <v>90130</v>
      </c>
      <c r="E2420">
        <v>56000</v>
      </c>
      <c r="F2420">
        <v>56000</v>
      </c>
      <c r="G2420" s="1">
        <v>1E-3</v>
      </c>
      <c r="H2420" s="1">
        <v>1E-3</v>
      </c>
      <c r="I2420" s="1">
        <v>1E-3</v>
      </c>
      <c r="J2420" s="1">
        <v>0.56120000000000003</v>
      </c>
    </row>
    <row r="2421" spans="1:10" x14ac:dyDescent="0.2">
      <c r="A2421" t="str">
        <f>"17/11/2016"</f>
        <v>17/11/2016</v>
      </c>
      <c r="B2421">
        <v>3</v>
      </c>
      <c r="C2421">
        <v>59000</v>
      </c>
      <c r="D2421">
        <v>97904</v>
      </c>
      <c r="E2421">
        <v>59000</v>
      </c>
      <c r="F2421">
        <v>59000</v>
      </c>
      <c r="G2421" s="1">
        <v>1E-3</v>
      </c>
      <c r="H2421" s="1">
        <v>1E-3</v>
      </c>
      <c r="I2421" s="1">
        <v>1E-3</v>
      </c>
      <c r="J2421" s="1">
        <v>0.53610000000000002</v>
      </c>
    </row>
    <row r="2422" spans="1:10" x14ac:dyDescent="0.2">
      <c r="A2422" t="str">
        <f>"16/11/2016"</f>
        <v>16/11/2016</v>
      </c>
      <c r="B2422">
        <v>1</v>
      </c>
      <c r="C2422">
        <v>56000</v>
      </c>
      <c r="D2422">
        <v>99890</v>
      </c>
      <c r="E2422">
        <v>56000</v>
      </c>
      <c r="F2422">
        <v>56000</v>
      </c>
      <c r="G2422" s="1">
        <v>1E-3</v>
      </c>
      <c r="H2422" s="1">
        <v>1E-3</v>
      </c>
      <c r="I2422" s="1">
        <v>1E-3</v>
      </c>
      <c r="J2422" s="1">
        <v>0.49199999999999999</v>
      </c>
    </row>
    <row r="2423" spans="1:10" x14ac:dyDescent="0.2">
      <c r="A2423" t="str">
        <f>"15/11/2016"</f>
        <v>15/11/2016</v>
      </c>
      <c r="B2423">
        <v>1</v>
      </c>
      <c r="C2423">
        <v>69000</v>
      </c>
      <c r="D2423">
        <v>132717</v>
      </c>
      <c r="E2423">
        <v>69000</v>
      </c>
      <c r="F2423">
        <v>69000</v>
      </c>
      <c r="G2423" s="1">
        <v>1E-3</v>
      </c>
      <c r="H2423" s="1">
        <v>1E-3</v>
      </c>
      <c r="I2423" s="1">
        <v>1E-3</v>
      </c>
      <c r="J2423" s="1">
        <v>0.45689999999999997</v>
      </c>
    </row>
    <row r="2424" spans="1:10" x14ac:dyDescent="0.2">
      <c r="A2424" t="str">
        <f>"14/11/2016"</f>
        <v>14/11/2016</v>
      </c>
      <c r="B2424">
        <v>1</v>
      </c>
      <c r="C2424">
        <v>70000</v>
      </c>
      <c r="D2424">
        <v>138868</v>
      </c>
      <c r="E2424">
        <v>70000</v>
      </c>
      <c r="F2424">
        <v>70000</v>
      </c>
      <c r="G2424" s="1">
        <v>1E-3</v>
      </c>
      <c r="H2424" s="1">
        <v>1E-3</v>
      </c>
      <c r="I2424" s="1">
        <v>1E-3</v>
      </c>
      <c r="J2424" s="1">
        <v>0.43830000000000002</v>
      </c>
    </row>
    <row r="2425" spans="1:10" x14ac:dyDescent="0.2">
      <c r="A2425" t="str">
        <f>"13/11/2016"</f>
        <v>13/11/2016</v>
      </c>
      <c r="B2425">
        <v>1</v>
      </c>
      <c r="C2425">
        <v>70000</v>
      </c>
      <c r="D2425">
        <v>160068</v>
      </c>
      <c r="E2425">
        <v>70000</v>
      </c>
      <c r="F2425">
        <v>70000</v>
      </c>
      <c r="G2425" s="1">
        <v>1E-3</v>
      </c>
      <c r="H2425" s="1">
        <v>1E-3</v>
      </c>
      <c r="I2425" s="1">
        <v>1E-3</v>
      </c>
      <c r="J2425" s="1">
        <v>0.38080000000000003</v>
      </c>
    </row>
    <row r="2426" spans="1:10" x14ac:dyDescent="0.2">
      <c r="A2426" t="str">
        <f>"10/11/2016"</f>
        <v>10/11/2016</v>
      </c>
      <c r="B2426">
        <v>3</v>
      </c>
      <c r="C2426">
        <v>71000</v>
      </c>
      <c r="D2426">
        <v>174583</v>
      </c>
      <c r="E2426">
        <v>71000</v>
      </c>
      <c r="F2426">
        <v>71000</v>
      </c>
      <c r="G2426" s="1">
        <v>1E-3</v>
      </c>
      <c r="H2426" s="1">
        <v>1E-3</v>
      </c>
      <c r="I2426" s="1">
        <v>1E-3</v>
      </c>
      <c r="J2426" s="1">
        <v>0.3453</v>
      </c>
    </row>
    <row r="2427" spans="1:10" x14ac:dyDescent="0.2">
      <c r="A2427" t="str">
        <f>"09/11/2016"</f>
        <v>09/11/2016</v>
      </c>
      <c r="B2427">
        <v>1</v>
      </c>
      <c r="C2427">
        <v>74000</v>
      </c>
      <c r="D2427">
        <v>194340</v>
      </c>
      <c r="E2427">
        <v>74000</v>
      </c>
      <c r="F2427">
        <v>74000</v>
      </c>
      <c r="G2427" s="1">
        <v>1E-3</v>
      </c>
      <c r="H2427" s="1">
        <v>1E-3</v>
      </c>
      <c r="I2427" s="1">
        <v>1E-3</v>
      </c>
      <c r="J2427" s="1">
        <v>0.30719999999999997</v>
      </c>
    </row>
    <row r="2428" spans="1:10" x14ac:dyDescent="0.2">
      <c r="A2428" t="str">
        <f>"08/11/2016"</f>
        <v>08/11/2016</v>
      </c>
      <c r="B2428">
        <v>1</v>
      </c>
      <c r="C2428">
        <v>74000</v>
      </c>
      <c r="D2428">
        <v>186019</v>
      </c>
      <c r="E2428">
        <v>74000</v>
      </c>
      <c r="F2428">
        <v>74000</v>
      </c>
      <c r="G2428" s="1">
        <v>1E-3</v>
      </c>
      <c r="H2428" s="1">
        <v>1E-3</v>
      </c>
      <c r="I2428" s="1">
        <v>1E-3</v>
      </c>
      <c r="J2428" s="1">
        <v>0.31979999999999997</v>
      </c>
    </row>
    <row r="2429" spans="1:10" x14ac:dyDescent="0.2">
      <c r="A2429" t="str">
        <f>"07/11/2016"</f>
        <v>07/11/2016</v>
      </c>
      <c r="B2429">
        <v>1</v>
      </c>
      <c r="C2429">
        <v>73000</v>
      </c>
      <c r="D2429">
        <v>183990</v>
      </c>
      <c r="E2429">
        <v>73000</v>
      </c>
      <c r="F2429">
        <v>73000</v>
      </c>
      <c r="G2429" s="1">
        <v>1E-3</v>
      </c>
      <c r="H2429" s="1">
        <v>1E-3</v>
      </c>
      <c r="I2429" s="1">
        <v>1E-3</v>
      </c>
      <c r="J2429" s="1">
        <v>0.3216</v>
      </c>
    </row>
    <row r="2430" spans="1:10" x14ac:dyDescent="0.2">
      <c r="A2430" t="str">
        <f>"06/11/2016"</f>
        <v>06/11/2016</v>
      </c>
      <c r="B2430">
        <v>1</v>
      </c>
      <c r="C2430">
        <v>72000</v>
      </c>
      <c r="D2430">
        <v>184886</v>
      </c>
      <c r="E2430">
        <v>72000</v>
      </c>
      <c r="F2430">
        <v>72000</v>
      </c>
      <c r="G2430" s="1">
        <v>1E-3</v>
      </c>
      <c r="H2430" s="1">
        <v>1E-3</v>
      </c>
      <c r="I2430" s="1">
        <v>1E-3</v>
      </c>
      <c r="J2430" s="1">
        <v>0.3236</v>
      </c>
    </row>
    <row r="2431" spans="1:10" x14ac:dyDescent="0.2">
      <c r="A2431" t="str">
        <f>"03/11/2016"</f>
        <v>03/11/2016</v>
      </c>
      <c r="B2431">
        <v>3</v>
      </c>
      <c r="C2431">
        <v>72000</v>
      </c>
      <c r="D2431">
        <v>175835</v>
      </c>
      <c r="E2431">
        <v>72000</v>
      </c>
      <c r="F2431">
        <v>72000</v>
      </c>
      <c r="G2431" s="1">
        <v>1E-3</v>
      </c>
      <c r="H2431" s="1">
        <v>1E-3</v>
      </c>
      <c r="I2431" s="1">
        <v>1E-3</v>
      </c>
      <c r="J2431" s="1">
        <v>0.3473</v>
      </c>
    </row>
    <row r="2432" spans="1:10" x14ac:dyDescent="0.2">
      <c r="A2432" t="str">
        <f>"02/11/2016"</f>
        <v>02/11/2016</v>
      </c>
      <c r="B2432">
        <v>1</v>
      </c>
      <c r="C2432">
        <v>69000</v>
      </c>
      <c r="D2432">
        <v>177240</v>
      </c>
      <c r="E2432">
        <v>69000</v>
      </c>
      <c r="F2432">
        <v>69000</v>
      </c>
      <c r="G2432" s="1">
        <v>1E-3</v>
      </c>
      <c r="H2432" s="1">
        <v>1E-3</v>
      </c>
      <c r="I2432" s="1">
        <v>1E-3</v>
      </c>
      <c r="J2432" s="1">
        <v>0.32050000000000001</v>
      </c>
    </row>
    <row r="2433" spans="1:10" x14ac:dyDescent="0.2">
      <c r="A2433" t="str">
        <f>"01/11/2016"</f>
        <v>01/11/2016</v>
      </c>
      <c r="B2433">
        <v>1</v>
      </c>
      <c r="C2433">
        <v>69000</v>
      </c>
      <c r="D2433">
        <v>134559</v>
      </c>
      <c r="E2433">
        <v>69000</v>
      </c>
      <c r="F2433">
        <v>69000</v>
      </c>
      <c r="G2433" s="1">
        <v>1E-3</v>
      </c>
      <c r="H2433" s="1">
        <v>1E-3</v>
      </c>
      <c r="I2433" s="1">
        <v>1E-3</v>
      </c>
      <c r="J2433" s="1">
        <v>0.43020000000000003</v>
      </c>
    </row>
    <row r="2434" spans="1:10" x14ac:dyDescent="0.2">
      <c r="A2434" t="str">
        <f>"31/10/2016"</f>
        <v>31/10/2016</v>
      </c>
      <c r="B2434">
        <v>1</v>
      </c>
      <c r="C2434">
        <v>73000</v>
      </c>
      <c r="D2434">
        <v>126224</v>
      </c>
      <c r="E2434">
        <v>73000</v>
      </c>
      <c r="F2434">
        <v>73000</v>
      </c>
      <c r="G2434" s="1">
        <v>1E-3</v>
      </c>
      <c r="H2434" s="1">
        <v>1E-3</v>
      </c>
      <c r="I2434" s="1">
        <v>1E-3</v>
      </c>
      <c r="J2434" s="1">
        <v>0.52080000000000004</v>
      </c>
    </row>
    <row r="2435" spans="1:10" x14ac:dyDescent="0.2">
      <c r="A2435" t="str">
        <f>"30/10/2016"</f>
        <v>30/10/2016</v>
      </c>
      <c r="B2435">
        <v>1</v>
      </c>
      <c r="C2435">
        <v>66000</v>
      </c>
      <c r="D2435">
        <v>102761</v>
      </c>
      <c r="E2435">
        <v>66000</v>
      </c>
      <c r="F2435">
        <v>66000</v>
      </c>
      <c r="G2435" s="1">
        <v>1E-3</v>
      </c>
      <c r="H2435" s="1">
        <v>1E-3</v>
      </c>
      <c r="I2435" s="1">
        <v>1E-3</v>
      </c>
      <c r="J2435" s="1">
        <v>0.58789999999999998</v>
      </c>
    </row>
    <row r="2436" spans="1:10" x14ac:dyDescent="0.2">
      <c r="A2436" t="str">
        <f>"27/10/2016"</f>
        <v>27/10/2016</v>
      </c>
      <c r="B2436">
        <v>3</v>
      </c>
      <c r="C2436">
        <v>64000</v>
      </c>
      <c r="D2436">
        <v>82326</v>
      </c>
      <c r="E2436">
        <v>64000</v>
      </c>
      <c r="F2436">
        <v>64000</v>
      </c>
      <c r="G2436" s="1">
        <v>1E-3</v>
      </c>
      <c r="H2436" s="1">
        <v>1E-3</v>
      </c>
      <c r="I2436" s="1">
        <v>1E-3</v>
      </c>
      <c r="J2436" s="1">
        <v>0.73560000000000003</v>
      </c>
    </row>
    <row r="2437" spans="1:10" x14ac:dyDescent="0.2">
      <c r="A2437" t="str">
        <f>"26/10/2016"</f>
        <v>26/10/2016</v>
      </c>
      <c r="B2437">
        <v>1</v>
      </c>
      <c r="C2437">
        <v>60000</v>
      </c>
      <c r="D2437">
        <v>47334</v>
      </c>
      <c r="E2437">
        <v>47334</v>
      </c>
      <c r="F2437">
        <v>47334</v>
      </c>
      <c r="G2437" s="1">
        <v>1E-3</v>
      </c>
      <c r="H2437" s="1">
        <v>1E-3</v>
      </c>
      <c r="I2437" s="1">
        <v>1E-3</v>
      </c>
      <c r="J2437" s="1">
        <v>1</v>
      </c>
    </row>
    <row r="2438" spans="1:10" x14ac:dyDescent="0.2">
      <c r="A2438" t="str">
        <f>"25/10/2016"</f>
        <v>25/10/2016</v>
      </c>
      <c r="B2438">
        <v>1</v>
      </c>
      <c r="C2438">
        <v>61000</v>
      </c>
      <c r="D2438">
        <v>66090</v>
      </c>
      <c r="E2438">
        <v>61000</v>
      </c>
      <c r="F2438">
        <v>61000</v>
      </c>
      <c r="G2438" s="1">
        <v>1E-3</v>
      </c>
      <c r="H2438" s="1">
        <v>1E-3</v>
      </c>
      <c r="I2438" s="1">
        <v>1E-3</v>
      </c>
      <c r="J2438" s="1">
        <v>0.89429999999999998</v>
      </c>
    </row>
    <row r="2439" spans="1:10" x14ac:dyDescent="0.2">
      <c r="A2439" t="str">
        <f>"20/10/2016"</f>
        <v>20/10/2016</v>
      </c>
      <c r="B2439">
        <v>5</v>
      </c>
      <c r="C2439">
        <v>63000</v>
      </c>
      <c r="D2439">
        <v>108433</v>
      </c>
      <c r="E2439">
        <v>63000</v>
      </c>
      <c r="F2439">
        <v>63000</v>
      </c>
      <c r="G2439" s="1">
        <v>1E-3</v>
      </c>
      <c r="H2439" s="1">
        <v>1E-3</v>
      </c>
      <c r="I2439" s="1">
        <v>1E-3</v>
      </c>
      <c r="J2439" s="1">
        <v>0.50919999999999999</v>
      </c>
    </row>
    <row r="2440" spans="1:10" x14ac:dyDescent="0.2">
      <c r="A2440" t="str">
        <f>"19/10/2016"</f>
        <v>19/10/2016</v>
      </c>
      <c r="B2440">
        <v>1</v>
      </c>
      <c r="C2440">
        <v>63000</v>
      </c>
      <c r="D2440">
        <v>125958</v>
      </c>
      <c r="E2440">
        <v>63000</v>
      </c>
      <c r="F2440">
        <v>63000</v>
      </c>
      <c r="G2440" s="1">
        <v>1E-3</v>
      </c>
      <c r="H2440" s="1">
        <v>1E-3</v>
      </c>
      <c r="I2440" s="1">
        <v>1E-3</v>
      </c>
      <c r="J2440" s="1">
        <v>0.41660000000000003</v>
      </c>
    </row>
    <row r="2441" spans="1:10" x14ac:dyDescent="0.2">
      <c r="A2441" t="str">
        <f>"18/10/2016"</f>
        <v>18/10/2016</v>
      </c>
      <c r="B2441">
        <v>1</v>
      </c>
      <c r="C2441">
        <v>65000</v>
      </c>
      <c r="D2441">
        <v>126416</v>
      </c>
      <c r="E2441">
        <v>65000</v>
      </c>
      <c r="F2441">
        <v>65000</v>
      </c>
      <c r="G2441" s="1">
        <v>1E-3</v>
      </c>
      <c r="H2441" s="1">
        <v>1E-3</v>
      </c>
      <c r="I2441" s="1">
        <v>1E-3</v>
      </c>
      <c r="J2441" s="1">
        <v>0.43519999999999998</v>
      </c>
    </row>
    <row r="2442" spans="1:10" x14ac:dyDescent="0.2">
      <c r="A2442" t="str">
        <f>"13/10/2016"</f>
        <v>13/10/2016</v>
      </c>
      <c r="B2442">
        <v>5</v>
      </c>
      <c r="C2442">
        <v>68000</v>
      </c>
      <c r="D2442">
        <v>144190</v>
      </c>
      <c r="E2442">
        <v>68000</v>
      </c>
      <c r="F2442">
        <v>68000</v>
      </c>
      <c r="G2442" s="1">
        <v>1E-3</v>
      </c>
      <c r="H2442" s="1">
        <v>1E-3</v>
      </c>
      <c r="I2442" s="1">
        <v>1E-3</v>
      </c>
      <c r="J2442" s="1">
        <v>0.39650000000000002</v>
      </c>
    </row>
    <row r="2443" spans="1:10" x14ac:dyDescent="0.2">
      <c r="A2443" t="str">
        <f>"10/10/2016"</f>
        <v>10/10/2016</v>
      </c>
      <c r="B2443">
        <v>3</v>
      </c>
      <c r="C2443">
        <v>67000</v>
      </c>
      <c r="D2443">
        <v>150374</v>
      </c>
      <c r="E2443">
        <v>67000</v>
      </c>
      <c r="F2443">
        <v>67000</v>
      </c>
      <c r="G2443" s="1">
        <v>1E-3</v>
      </c>
      <c r="H2443" s="1">
        <v>1E-3</v>
      </c>
      <c r="I2443" s="1">
        <v>1E-3</v>
      </c>
      <c r="J2443" s="1">
        <v>0.36309999999999998</v>
      </c>
    </row>
    <row r="2444" spans="1:10" x14ac:dyDescent="0.2">
      <c r="A2444" t="str">
        <f>"09/10/2016"</f>
        <v>09/10/2016</v>
      </c>
      <c r="B2444">
        <v>1</v>
      </c>
      <c r="C2444">
        <v>67000</v>
      </c>
      <c r="D2444">
        <v>137092</v>
      </c>
      <c r="E2444">
        <v>67000</v>
      </c>
      <c r="F2444">
        <v>67000</v>
      </c>
      <c r="G2444" s="1">
        <v>1E-3</v>
      </c>
      <c r="H2444" s="1">
        <v>1E-3</v>
      </c>
      <c r="I2444" s="1">
        <v>1E-3</v>
      </c>
      <c r="J2444" s="1">
        <v>0.42049999999999998</v>
      </c>
    </row>
    <row r="2445" spans="1:10" x14ac:dyDescent="0.2">
      <c r="A2445" t="str">
        <f>"06/10/2016"</f>
        <v>06/10/2016</v>
      </c>
      <c r="B2445">
        <v>3</v>
      </c>
      <c r="C2445">
        <v>67000</v>
      </c>
      <c r="D2445">
        <v>121400</v>
      </c>
      <c r="E2445">
        <v>67000</v>
      </c>
      <c r="F2445">
        <v>67000</v>
      </c>
      <c r="G2445" s="1">
        <v>1E-3</v>
      </c>
      <c r="H2445" s="1">
        <v>1E-3</v>
      </c>
      <c r="I2445" s="1">
        <v>1E-3</v>
      </c>
      <c r="J2445" s="1">
        <v>0.50149999999999995</v>
      </c>
    </row>
    <row r="2446" spans="1:10" x14ac:dyDescent="0.2">
      <c r="A2446" t="str">
        <f>"05/10/2016"</f>
        <v>05/10/2016</v>
      </c>
      <c r="B2446">
        <v>1</v>
      </c>
      <c r="C2446">
        <v>66000</v>
      </c>
      <c r="D2446">
        <v>100557</v>
      </c>
      <c r="E2446">
        <v>66000</v>
      </c>
      <c r="F2446">
        <v>66000</v>
      </c>
      <c r="G2446" s="1">
        <v>1E-3</v>
      </c>
      <c r="H2446" s="1">
        <v>1E-3</v>
      </c>
      <c r="I2446" s="1">
        <v>1E-3</v>
      </c>
      <c r="J2446" s="1">
        <v>0.5726</v>
      </c>
    </row>
    <row r="2447" spans="1:10" x14ac:dyDescent="0.2">
      <c r="A2447" t="str">
        <f>"29/09/2016"</f>
        <v>29/09/2016</v>
      </c>
      <c r="B2447">
        <v>6</v>
      </c>
      <c r="C2447">
        <v>53000</v>
      </c>
      <c r="D2447">
        <v>65785</v>
      </c>
      <c r="E2447">
        <v>53000</v>
      </c>
      <c r="F2447">
        <v>53000</v>
      </c>
      <c r="G2447" s="1">
        <v>1E-3</v>
      </c>
      <c r="H2447" s="1">
        <v>1E-3</v>
      </c>
      <c r="I2447" s="1">
        <v>1E-3</v>
      </c>
      <c r="J2447" s="1">
        <v>0.74260000000000004</v>
      </c>
    </row>
    <row r="2448" spans="1:10" x14ac:dyDescent="0.2">
      <c r="A2448" t="str">
        <f>"28/09/2016"</f>
        <v>28/09/2016</v>
      </c>
      <c r="B2448">
        <v>1</v>
      </c>
      <c r="C2448">
        <v>44000</v>
      </c>
      <c r="D2448">
        <v>41867</v>
      </c>
      <c r="E2448">
        <v>41867</v>
      </c>
      <c r="F2448">
        <v>41867</v>
      </c>
      <c r="G2448" s="1">
        <v>1E-3</v>
      </c>
      <c r="H2448" s="1">
        <v>8.9999999999999998E-4</v>
      </c>
      <c r="I2448" s="1">
        <v>8.9999999999999998E-4</v>
      </c>
      <c r="J2448" s="1">
        <v>1</v>
      </c>
    </row>
    <row r="2449" spans="1:10" x14ac:dyDescent="0.2">
      <c r="A2449" t="str">
        <f>"27/09/2016"</f>
        <v>27/09/2016</v>
      </c>
      <c r="B2449">
        <v>1</v>
      </c>
      <c r="C2449">
        <v>40000</v>
      </c>
      <c r="D2449">
        <v>41114</v>
      </c>
      <c r="E2449">
        <v>40000</v>
      </c>
      <c r="F2449">
        <v>40000</v>
      </c>
      <c r="G2449" s="1">
        <v>1E-3</v>
      </c>
      <c r="H2449" s="1">
        <v>8.9999999999999998E-4</v>
      </c>
      <c r="I2449" s="1">
        <v>8.9999999999999998E-4</v>
      </c>
      <c r="J2449" s="1">
        <v>0.93669999999999998</v>
      </c>
    </row>
    <row r="2450" spans="1:10" x14ac:dyDescent="0.2">
      <c r="A2450" t="str">
        <f>"26/09/2016"</f>
        <v>26/09/2016</v>
      </c>
      <c r="B2450">
        <v>1</v>
      </c>
      <c r="C2450">
        <v>40000</v>
      </c>
      <c r="D2450">
        <v>52801</v>
      </c>
      <c r="E2450">
        <v>40000</v>
      </c>
      <c r="F2450">
        <v>40000</v>
      </c>
      <c r="G2450" s="1">
        <v>1E-3</v>
      </c>
      <c r="H2450" s="1">
        <v>1E-3</v>
      </c>
      <c r="I2450" s="1">
        <v>1E-3</v>
      </c>
      <c r="J2450" s="1">
        <v>0.66539999999999999</v>
      </c>
    </row>
    <row r="2451" spans="1:10" x14ac:dyDescent="0.2">
      <c r="A2451" t="str">
        <f>"25/09/2016"</f>
        <v>25/09/2016</v>
      </c>
      <c r="B2451">
        <v>1</v>
      </c>
      <c r="C2451">
        <v>42000</v>
      </c>
      <c r="D2451">
        <v>61533</v>
      </c>
      <c r="E2451">
        <v>42000</v>
      </c>
      <c r="F2451">
        <v>42000</v>
      </c>
      <c r="G2451" s="1">
        <v>1E-3</v>
      </c>
      <c r="H2451" s="1">
        <v>1E-3</v>
      </c>
      <c r="I2451" s="1">
        <v>1E-3</v>
      </c>
      <c r="J2451" s="1">
        <v>0.60340000000000005</v>
      </c>
    </row>
    <row r="2452" spans="1:10" x14ac:dyDescent="0.2">
      <c r="A2452" t="str">
        <f>"22/09/2016"</f>
        <v>22/09/2016</v>
      </c>
      <c r="B2452">
        <v>3</v>
      </c>
      <c r="C2452">
        <v>43000</v>
      </c>
      <c r="D2452">
        <v>64515</v>
      </c>
      <c r="E2452">
        <v>43000</v>
      </c>
      <c r="F2452">
        <v>43000</v>
      </c>
      <c r="G2452" s="1">
        <v>1E-3</v>
      </c>
      <c r="H2452" s="1">
        <v>1E-3</v>
      </c>
      <c r="I2452" s="1">
        <v>1E-3</v>
      </c>
      <c r="J2452" s="1">
        <v>0.57040000000000002</v>
      </c>
    </row>
    <row r="2453" spans="1:10" x14ac:dyDescent="0.2">
      <c r="A2453" t="str">
        <f>"21/09/2016"</f>
        <v>21/09/2016</v>
      </c>
      <c r="B2453">
        <v>1</v>
      </c>
      <c r="C2453">
        <v>41000</v>
      </c>
      <c r="D2453">
        <v>69255</v>
      </c>
      <c r="E2453">
        <v>41000</v>
      </c>
      <c r="F2453">
        <v>41000</v>
      </c>
      <c r="G2453" s="1">
        <v>1E-3</v>
      </c>
      <c r="H2453" s="1">
        <v>1E-3</v>
      </c>
      <c r="I2453" s="1">
        <v>1E-3</v>
      </c>
      <c r="J2453" s="1">
        <v>0.4849</v>
      </c>
    </row>
    <row r="2454" spans="1:10" x14ac:dyDescent="0.2">
      <c r="A2454" t="str">
        <f>"20/09/2016"</f>
        <v>20/09/2016</v>
      </c>
      <c r="B2454">
        <v>1</v>
      </c>
      <c r="C2454">
        <v>40000</v>
      </c>
      <c r="D2454">
        <v>64155</v>
      </c>
      <c r="E2454">
        <v>40000</v>
      </c>
      <c r="F2454">
        <v>40000</v>
      </c>
      <c r="G2454" s="1">
        <v>1E-3</v>
      </c>
      <c r="H2454" s="1">
        <v>1E-3</v>
      </c>
      <c r="I2454" s="1">
        <v>1E-3</v>
      </c>
      <c r="J2454" s="1">
        <v>0.51160000000000005</v>
      </c>
    </row>
    <row r="2455" spans="1:10" x14ac:dyDescent="0.2">
      <c r="A2455" t="str">
        <f>"19/09/2016"</f>
        <v>19/09/2016</v>
      </c>
      <c r="B2455">
        <v>1</v>
      </c>
      <c r="C2455">
        <v>42000</v>
      </c>
      <c r="D2455">
        <v>66375</v>
      </c>
      <c r="E2455">
        <v>42000</v>
      </c>
      <c r="F2455">
        <v>42000</v>
      </c>
      <c r="G2455" s="1">
        <v>1E-3</v>
      </c>
      <c r="H2455" s="1">
        <v>1E-3</v>
      </c>
      <c r="I2455" s="1">
        <v>1E-3</v>
      </c>
      <c r="J2455" s="1">
        <v>0.55659999999999998</v>
      </c>
    </row>
    <row r="2456" spans="1:10" x14ac:dyDescent="0.2">
      <c r="A2456" t="str">
        <f>"18/09/2016"</f>
        <v>18/09/2016</v>
      </c>
      <c r="B2456">
        <v>1</v>
      </c>
      <c r="C2456">
        <v>47000</v>
      </c>
      <c r="D2456">
        <v>77496</v>
      </c>
      <c r="E2456">
        <v>47000</v>
      </c>
      <c r="F2456">
        <v>47000</v>
      </c>
      <c r="G2456" s="1">
        <v>1E-3</v>
      </c>
      <c r="H2456" s="1">
        <v>1E-3</v>
      </c>
      <c r="I2456" s="1">
        <v>1E-3</v>
      </c>
      <c r="J2456" s="1">
        <v>0.53390000000000004</v>
      </c>
    </row>
    <row r="2457" spans="1:10" x14ac:dyDescent="0.2">
      <c r="A2457" t="str">
        <f>"15/09/2016"</f>
        <v>15/09/2016</v>
      </c>
      <c r="B2457">
        <v>3</v>
      </c>
      <c r="C2457">
        <v>50000</v>
      </c>
      <c r="D2457">
        <v>92598</v>
      </c>
      <c r="E2457">
        <v>50000</v>
      </c>
      <c r="F2457">
        <v>50000</v>
      </c>
      <c r="G2457" s="1">
        <v>1E-3</v>
      </c>
      <c r="H2457" s="1">
        <v>1E-3</v>
      </c>
      <c r="I2457" s="1">
        <v>1E-3</v>
      </c>
      <c r="J2457" s="1">
        <v>0.44130000000000003</v>
      </c>
    </row>
    <row r="2458" spans="1:10" x14ac:dyDescent="0.2">
      <c r="A2458" t="str">
        <f>"15/09/2016"</f>
        <v>15/09/2016</v>
      </c>
      <c r="B2458">
        <v>1</v>
      </c>
      <c r="C2458">
        <v>12000</v>
      </c>
      <c r="D2458">
        <v>6380</v>
      </c>
      <c r="E2458">
        <v>6380</v>
      </c>
      <c r="F2458">
        <v>6380</v>
      </c>
      <c r="G2458" s="1">
        <v>1E-3</v>
      </c>
      <c r="H2458" s="1">
        <v>1E-3</v>
      </c>
      <c r="I2458" s="1">
        <v>1E-3</v>
      </c>
      <c r="J2458" s="1">
        <v>1</v>
      </c>
    </row>
    <row r="2459" spans="1:10" x14ac:dyDescent="0.2">
      <c r="A2459" t="str">
        <f>"14/09/2016"</f>
        <v>14/09/2016</v>
      </c>
      <c r="B2459">
        <v>1</v>
      </c>
      <c r="C2459">
        <v>58000</v>
      </c>
      <c r="D2459">
        <v>124150</v>
      </c>
      <c r="E2459">
        <v>58000</v>
      </c>
      <c r="F2459">
        <v>58000</v>
      </c>
      <c r="G2459" s="1">
        <v>1E-3</v>
      </c>
      <c r="H2459" s="1">
        <v>1E-3</v>
      </c>
      <c r="I2459" s="1">
        <v>1E-3</v>
      </c>
      <c r="J2459" s="1">
        <v>0.37709999999999999</v>
      </c>
    </row>
    <row r="2460" spans="1:10" x14ac:dyDescent="0.2">
      <c r="A2460" t="str">
        <f>"13/09/2016"</f>
        <v>13/09/2016</v>
      </c>
      <c r="B2460">
        <v>1</v>
      </c>
      <c r="C2460">
        <v>58000</v>
      </c>
      <c r="D2460">
        <v>130110</v>
      </c>
      <c r="E2460">
        <v>58000</v>
      </c>
      <c r="F2460">
        <v>58000</v>
      </c>
      <c r="G2460" s="1">
        <v>1E-3</v>
      </c>
      <c r="H2460" s="1">
        <v>1E-3</v>
      </c>
      <c r="I2460" s="1">
        <v>1E-3</v>
      </c>
      <c r="J2460" s="1">
        <v>0.36840000000000001</v>
      </c>
    </row>
    <row r="2461" spans="1:10" x14ac:dyDescent="0.2">
      <c r="A2461" t="str">
        <f>"12/09/2016"</f>
        <v>12/09/2016</v>
      </c>
      <c r="B2461">
        <v>1</v>
      </c>
      <c r="C2461">
        <v>59000</v>
      </c>
      <c r="D2461">
        <v>136458</v>
      </c>
      <c r="E2461">
        <v>59000</v>
      </c>
      <c r="F2461">
        <v>59000</v>
      </c>
      <c r="G2461" s="1">
        <v>1E-3</v>
      </c>
      <c r="H2461" s="1">
        <v>1E-3</v>
      </c>
      <c r="I2461" s="1">
        <v>1E-3</v>
      </c>
      <c r="J2461" s="1">
        <v>0.36099999999999999</v>
      </c>
    </row>
    <row r="2462" spans="1:10" x14ac:dyDescent="0.2">
      <c r="A2462" t="str">
        <f>"11/09/2016"</f>
        <v>11/09/2016</v>
      </c>
      <c r="B2462">
        <v>1</v>
      </c>
      <c r="C2462">
        <v>59000</v>
      </c>
      <c r="D2462">
        <v>141453</v>
      </c>
      <c r="E2462">
        <v>59000</v>
      </c>
      <c r="F2462">
        <v>59000</v>
      </c>
      <c r="G2462" s="1">
        <v>1E-3</v>
      </c>
      <c r="H2462" s="1">
        <v>1E-3</v>
      </c>
      <c r="I2462" s="1">
        <v>1E-3</v>
      </c>
      <c r="J2462" s="1">
        <v>0.33689999999999998</v>
      </c>
    </row>
    <row r="2463" spans="1:10" x14ac:dyDescent="0.2">
      <c r="A2463" t="str">
        <f>"08/09/2016"</f>
        <v>08/09/2016</v>
      </c>
      <c r="B2463">
        <v>3</v>
      </c>
      <c r="C2463">
        <v>60000</v>
      </c>
      <c r="D2463">
        <v>139620</v>
      </c>
      <c r="E2463">
        <v>60000</v>
      </c>
      <c r="F2463">
        <v>60000</v>
      </c>
      <c r="G2463" s="1">
        <v>1E-3</v>
      </c>
      <c r="H2463" s="1">
        <v>1E-3</v>
      </c>
      <c r="I2463" s="1">
        <v>1E-3</v>
      </c>
      <c r="J2463" s="1">
        <v>0.34799999999999998</v>
      </c>
    </row>
    <row r="2464" spans="1:10" x14ac:dyDescent="0.2">
      <c r="A2464" t="str">
        <f>"07/09/2016"</f>
        <v>07/09/2016</v>
      </c>
      <c r="B2464">
        <v>1</v>
      </c>
      <c r="C2464">
        <v>59000</v>
      </c>
      <c r="D2464">
        <v>136150</v>
      </c>
      <c r="E2464">
        <v>59000</v>
      </c>
      <c r="F2464">
        <v>59000</v>
      </c>
      <c r="G2464" s="1">
        <v>1E-3</v>
      </c>
      <c r="H2464" s="1">
        <v>1E-3</v>
      </c>
      <c r="I2464" s="1">
        <v>1E-3</v>
      </c>
      <c r="J2464" s="1">
        <v>0.34870000000000001</v>
      </c>
    </row>
    <row r="2465" spans="1:10" x14ac:dyDescent="0.2">
      <c r="A2465" t="str">
        <f>"06/09/2016"</f>
        <v>06/09/2016</v>
      </c>
      <c r="B2465">
        <v>1</v>
      </c>
      <c r="C2465">
        <v>59000</v>
      </c>
      <c r="D2465">
        <v>122570</v>
      </c>
      <c r="E2465">
        <v>59000</v>
      </c>
      <c r="F2465">
        <v>59000</v>
      </c>
      <c r="G2465" s="1">
        <v>1E-3</v>
      </c>
      <c r="H2465" s="1">
        <v>1E-3</v>
      </c>
      <c r="I2465" s="1">
        <v>1E-3</v>
      </c>
      <c r="J2465" s="1">
        <v>0.40479999999999999</v>
      </c>
    </row>
    <row r="2466" spans="1:10" x14ac:dyDescent="0.2">
      <c r="A2466" t="str">
        <f>"05/09/2016"</f>
        <v>05/09/2016</v>
      </c>
      <c r="B2466">
        <v>1</v>
      </c>
      <c r="C2466">
        <v>59000</v>
      </c>
      <c r="D2466">
        <v>111000</v>
      </c>
      <c r="E2466">
        <v>59000</v>
      </c>
      <c r="F2466">
        <v>59000</v>
      </c>
      <c r="G2466" s="1">
        <v>1E-3</v>
      </c>
      <c r="H2466" s="1">
        <v>1E-3</v>
      </c>
      <c r="I2466" s="1">
        <v>1E-3</v>
      </c>
      <c r="J2466" s="1">
        <v>0.45550000000000002</v>
      </c>
    </row>
    <row r="2467" spans="1:10" x14ac:dyDescent="0.2">
      <c r="A2467" t="str">
        <f>"04/09/2016"</f>
        <v>04/09/2016</v>
      </c>
      <c r="B2467">
        <v>1</v>
      </c>
      <c r="C2467">
        <v>58000</v>
      </c>
      <c r="D2467">
        <v>101805</v>
      </c>
      <c r="E2467">
        <v>58000</v>
      </c>
      <c r="F2467">
        <v>58000</v>
      </c>
      <c r="G2467" s="1">
        <v>1E-3</v>
      </c>
      <c r="H2467" s="1">
        <v>1E-3</v>
      </c>
      <c r="I2467" s="1">
        <v>1E-3</v>
      </c>
      <c r="J2467" s="1">
        <v>0.50180000000000002</v>
      </c>
    </row>
    <row r="2468" spans="1:10" x14ac:dyDescent="0.2">
      <c r="A2468" t="str">
        <f>"01/09/2016"</f>
        <v>01/09/2016</v>
      </c>
      <c r="B2468">
        <v>3</v>
      </c>
      <c r="C2468">
        <v>57000</v>
      </c>
      <c r="D2468">
        <v>81864</v>
      </c>
      <c r="E2468">
        <v>57000</v>
      </c>
      <c r="F2468">
        <v>57000</v>
      </c>
      <c r="G2468" s="1">
        <v>1E-3</v>
      </c>
      <c r="H2468" s="1">
        <v>1E-3</v>
      </c>
      <c r="I2468" s="1">
        <v>1E-3</v>
      </c>
      <c r="J2468" s="1">
        <v>0.6401</v>
      </c>
    </row>
    <row r="2469" spans="1:10" x14ac:dyDescent="0.2">
      <c r="A2469" t="str">
        <f>"31/08/2016"</f>
        <v>31/08/2016</v>
      </c>
      <c r="B2469">
        <v>1</v>
      </c>
      <c r="C2469">
        <v>51000</v>
      </c>
      <c r="D2469">
        <v>48596</v>
      </c>
      <c r="E2469">
        <v>48596</v>
      </c>
      <c r="F2469">
        <v>48596</v>
      </c>
      <c r="G2469" s="1">
        <v>1E-3</v>
      </c>
      <c r="H2469" s="1">
        <v>8.9999999999999998E-4</v>
      </c>
      <c r="I2469" s="1">
        <v>8.9999999999999998E-4</v>
      </c>
      <c r="J2469" s="1">
        <v>1</v>
      </c>
    </row>
    <row r="2470" spans="1:10" x14ac:dyDescent="0.2">
      <c r="A2470" t="str">
        <f>"30/08/2016"</f>
        <v>30/08/2016</v>
      </c>
      <c r="B2470">
        <v>1</v>
      </c>
      <c r="C2470">
        <v>38000</v>
      </c>
      <c r="D2470">
        <v>55853</v>
      </c>
      <c r="E2470">
        <v>38000</v>
      </c>
      <c r="F2470">
        <v>38000</v>
      </c>
      <c r="G2470" s="1">
        <v>1E-3</v>
      </c>
      <c r="H2470" s="1">
        <v>1E-3</v>
      </c>
      <c r="I2470" s="1">
        <v>1E-3</v>
      </c>
      <c r="J2470" s="1">
        <v>0.58140000000000003</v>
      </c>
    </row>
    <row r="2471" spans="1:10" x14ac:dyDescent="0.2">
      <c r="A2471" t="str">
        <f>"29/08/2016"</f>
        <v>29/08/2016</v>
      </c>
      <c r="B2471">
        <v>1</v>
      </c>
      <c r="C2471">
        <v>38000</v>
      </c>
      <c r="D2471">
        <v>68971</v>
      </c>
      <c r="E2471">
        <v>38000</v>
      </c>
      <c r="F2471">
        <v>38000</v>
      </c>
      <c r="G2471" s="1">
        <v>1E-3</v>
      </c>
      <c r="H2471" s="1">
        <v>1E-3</v>
      </c>
      <c r="I2471" s="1">
        <v>1E-3</v>
      </c>
      <c r="J2471" s="1">
        <v>0.44679999999999997</v>
      </c>
    </row>
    <row r="2472" spans="1:10" x14ac:dyDescent="0.2">
      <c r="A2472" t="str">
        <f>"28/08/2016"</f>
        <v>28/08/2016</v>
      </c>
      <c r="B2472">
        <v>1</v>
      </c>
      <c r="C2472">
        <v>39000</v>
      </c>
      <c r="D2472">
        <v>83488</v>
      </c>
      <c r="E2472">
        <v>39000</v>
      </c>
      <c r="F2472">
        <v>39000</v>
      </c>
      <c r="G2472" s="1">
        <v>1E-3</v>
      </c>
      <c r="H2472" s="1">
        <v>1E-3</v>
      </c>
      <c r="I2472" s="1">
        <v>1E-3</v>
      </c>
      <c r="J2472" s="1">
        <v>0.36449999999999999</v>
      </c>
    </row>
    <row r="2473" spans="1:10" x14ac:dyDescent="0.2">
      <c r="A2473" t="str">
        <f>"25/08/2016"</f>
        <v>25/08/2016</v>
      </c>
      <c r="B2473">
        <v>3</v>
      </c>
      <c r="C2473">
        <v>35000</v>
      </c>
      <c r="D2473">
        <v>78196</v>
      </c>
      <c r="E2473">
        <v>35000</v>
      </c>
      <c r="F2473">
        <v>35000</v>
      </c>
      <c r="G2473" s="1">
        <v>1E-3</v>
      </c>
      <c r="H2473" s="1">
        <v>1E-3</v>
      </c>
      <c r="I2473" s="1">
        <v>1E-3</v>
      </c>
      <c r="J2473" s="1">
        <v>0.35039999999999999</v>
      </c>
    </row>
    <row r="2474" spans="1:10" x14ac:dyDescent="0.2">
      <c r="A2474" t="str">
        <f>"24/08/2016"</f>
        <v>24/08/2016</v>
      </c>
      <c r="B2474">
        <v>1</v>
      </c>
      <c r="C2474">
        <v>34000</v>
      </c>
      <c r="D2474">
        <v>84746</v>
      </c>
      <c r="E2474">
        <v>34000</v>
      </c>
      <c r="F2474">
        <v>34000</v>
      </c>
      <c r="G2474" s="1">
        <v>1E-3</v>
      </c>
      <c r="H2474" s="1">
        <v>1E-3</v>
      </c>
      <c r="I2474" s="1">
        <v>1E-3</v>
      </c>
      <c r="J2474" s="1">
        <v>0.30830000000000002</v>
      </c>
    </row>
    <row r="2475" spans="1:10" x14ac:dyDescent="0.2">
      <c r="A2475" t="str">
        <f>"23/08/2016"</f>
        <v>23/08/2016</v>
      </c>
      <c r="B2475">
        <v>1</v>
      </c>
      <c r="C2475">
        <v>35000</v>
      </c>
      <c r="D2475">
        <v>84686</v>
      </c>
      <c r="E2475">
        <v>35000</v>
      </c>
      <c r="F2475">
        <v>35000</v>
      </c>
      <c r="G2475" s="1">
        <v>1E-3</v>
      </c>
      <c r="H2475" s="1">
        <v>1E-3</v>
      </c>
      <c r="I2475" s="1">
        <v>1E-3</v>
      </c>
      <c r="J2475" s="1">
        <v>0.33750000000000002</v>
      </c>
    </row>
    <row r="2476" spans="1:10" x14ac:dyDescent="0.2">
      <c r="A2476" t="str">
        <f>"22/08/2016"</f>
        <v>22/08/2016</v>
      </c>
      <c r="B2476">
        <v>1</v>
      </c>
      <c r="C2476">
        <v>35000</v>
      </c>
      <c r="D2476">
        <v>73562</v>
      </c>
      <c r="E2476">
        <v>35000</v>
      </c>
      <c r="F2476">
        <v>35000</v>
      </c>
      <c r="G2476" s="1">
        <v>1E-3</v>
      </c>
      <c r="H2476" s="1">
        <v>1E-3</v>
      </c>
      <c r="I2476" s="1">
        <v>1E-3</v>
      </c>
      <c r="J2476" s="1">
        <v>0.39729999999999999</v>
      </c>
    </row>
    <row r="2477" spans="1:10" x14ac:dyDescent="0.2">
      <c r="A2477" t="str">
        <f>"21/08/2016"</f>
        <v>21/08/2016</v>
      </c>
      <c r="B2477">
        <v>1</v>
      </c>
      <c r="C2477">
        <v>37000</v>
      </c>
      <c r="D2477">
        <v>79156</v>
      </c>
      <c r="E2477">
        <v>37000</v>
      </c>
      <c r="F2477">
        <v>37000</v>
      </c>
      <c r="G2477" s="1">
        <v>1E-3</v>
      </c>
      <c r="H2477" s="1">
        <v>1E-3</v>
      </c>
      <c r="I2477" s="1">
        <v>1E-3</v>
      </c>
      <c r="J2477" s="1">
        <v>0.39169999999999999</v>
      </c>
    </row>
    <row r="2478" spans="1:10" x14ac:dyDescent="0.2">
      <c r="A2478" t="str">
        <f>"18/08/2016"</f>
        <v>18/08/2016</v>
      </c>
      <c r="B2478">
        <v>3</v>
      </c>
      <c r="C2478">
        <v>39000</v>
      </c>
      <c r="D2478">
        <v>86630</v>
      </c>
      <c r="E2478">
        <v>39000</v>
      </c>
      <c r="F2478">
        <v>39000</v>
      </c>
      <c r="G2478" s="1">
        <v>1E-3</v>
      </c>
      <c r="H2478" s="1">
        <v>1E-3</v>
      </c>
      <c r="I2478" s="1">
        <v>1E-3</v>
      </c>
      <c r="J2478" s="1">
        <v>0.37330000000000002</v>
      </c>
    </row>
    <row r="2479" spans="1:10" x14ac:dyDescent="0.2">
      <c r="A2479" t="str">
        <f>"17/08/2016"</f>
        <v>17/08/2016</v>
      </c>
      <c r="B2479">
        <v>1</v>
      </c>
      <c r="C2479">
        <v>39000</v>
      </c>
      <c r="D2479">
        <v>93285</v>
      </c>
      <c r="E2479">
        <v>39000</v>
      </c>
      <c r="F2479">
        <v>39000</v>
      </c>
      <c r="G2479" s="1">
        <v>1E-3</v>
      </c>
      <c r="H2479" s="1">
        <v>1E-3</v>
      </c>
      <c r="I2479" s="1">
        <v>1E-3</v>
      </c>
      <c r="J2479" s="1">
        <v>0.35099999999999998</v>
      </c>
    </row>
    <row r="2480" spans="1:10" x14ac:dyDescent="0.2">
      <c r="A2480" t="str">
        <f>"16/08/2016"</f>
        <v>16/08/2016</v>
      </c>
      <c r="B2480">
        <v>1</v>
      </c>
      <c r="C2480">
        <v>40000</v>
      </c>
      <c r="D2480">
        <v>90692</v>
      </c>
      <c r="E2480">
        <v>40000</v>
      </c>
      <c r="F2480">
        <v>40000</v>
      </c>
      <c r="G2480" s="1">
        <v>1E-3</v>
      </c>
      <c r="H2480" s="1">
        <v>1E-3</v>
      </c>
      <c r="I2480" s="1">
        <v>1E-3</v>
      </c>
      <c r="J2480" s="1">
        <v>0.38109999999999999</v>
      </c>
    </row>
    <row r="2481" spans="1:10" x14ac:dyDescent="0.2">
      <c r="A2481" t="str">
        <f>"15/08/2016"</f>
        <v>15/08/2016</v>
      </c>
      <c r="B2481">
        <v>1</v>
      </c>
      <c r="C2481">
        <v>50000</v>
      </c>
      <c r="D2481">
        <v>116990</v>
      </c>
      <c r="E2481">
        <v>50000</v>
      </c>
      <c r="F2481">
        <v>50000</v>
      </c>
      <c r="G2481" s="1">
        <v>1E-3</v>
      </c>
      <c r="H2481" s="1">
        <v>1E-3</v>
      </c>
      <c r="I2481" s="1">
        <v>1E-3</v>
      </c>
      <c r="J2481" s="1">
        <v>0.36109999999999998</v>
      </c>
    </row>
    <row r="2482" spans="1:10" x14ac:dyDescent="0.2">
      <c r="A2482" t="str">
        <f>"11/08/2016"</f>
        <v>11/08/2016</v>
      </c>
      <c r="B2482">
        <v>4</v>
      </c>
      <c r="C2482">
        <v>51000</v>
      </c>
      <c r="D2482">
        <v>128130</v>
      </c>
      <c r="E2482">
        <v>51000</v>
      </c>
      <c r="F2482">
        <v>51000</v>
      </c>
      <c r="G2482" s="1">
        <v>1E-3</v>
      </c>
      <c r="H2482" s="1">
        <v>1E-3</v>
      </c>
      <c r="I2482" s="1">
        <v>1E-3</v>
      </c>
      <c r="J2482" s="1">
        <v>0.33650000000000002</v>
      </c>
    </row>
    <row r="2483" spans="1:10" x14ac:dyDescent="0.2">
      <c r="A2483" t="str">
        <f>"10/08/2016"</f>
        <v>10/08/2016</v>
      </c>
      <c r="B2483">
        <v>1</v>
      </c>
      <c r="C2483">
        <v>52000</v>
      </c>
      <c r="D2483">
        <v>138554</v>
      </c>
      <c r="E2483">
        <v>52000</v>
      </c>
      <c r="F2483">
        <v>52000</v>
      </c>
      <c r="G2483" s="1">
        <v>1E-3</v>
      </c>
      <c r="H2483" s="1">
        <v>1E-3</v>
      </c>
      <c r="I2483" s="1">
        <v>1E-3</v>
      </c>
      <c r="J2483" s="1">
        <v>0.30159999999999998</v>
      </c>
    </row>
    <row r="2484" spans="1:10" x14ac:dyDescent="0.2">
      <c r="A2484" t="str">
        <f>"09/08/2016"</f>
        <v>09/08/2016</v>
      </c>
      <c r="B2484">
        <v>1</v>
      </c>
      <c r="C2484">
        <v>52000</v>
      </c>
      <c r="D2484">
        <v>139543</v>
      </c>
      <c r="E2484">
        <v>52000</v>
      </c>
      <c r="F2484">
        <v>52000</v>
      </c>
      <c r="G2484" s="1">
        <v>1E-3</v>
      </c>
      <c r="H2484" s="1">
        <v>1E-3</v>
      </c>
      <c r="I2484" s="1">
        <v>1E-3</v>
      </c>
      <c r="J2484" s="1">
        <v>0.29399999999999998</v>
      </c>
    </row>
    <row r="2485" spans="1:10" x14ac:dyDescent="0.2">
      <c r="A2485" t="str">
        <f>"08/08/2016"</f>
        <v>08/08/2016</v>
      </c>
      <c r="B2485">
        <v>1</v>
      </c>
      <c r="C2485">
        <v>53000</v>
      </c>
      <c r="D2485">
        <v>130829</v>
      </c>
      <c r="E2485">
        <v>53000</v>
      </c>
      <c r="F2485">
        <v>53000</v>
      </c>
      <c r="G2485" s="1">
        <v>1E-3</v>
      </c>
      <c r="H2485" s="1">
        <v>1E-3</v>
      </c>
      <c r="I2485" s="1">
        <v>1E-3</v>
      </c>
      <c r="J2485" s="1">
        <v>0.33189999999999997</v>
      </c>
    </row>
    <row r="2486" spans="1:10" x14ac:dyDescent="0.2">
      <c r="A2486" t="str">
        <f>"07/08/2016"</f>
        <v>07/08/2016</v>
      </c>
      <c r="B2486">
        <v>1</v>
      </c>
      <c r="C2486">
        <v>53000</v>
      </c>
      <c r="D2486">
        <v>117252</v>
      </c>
      <c r="E2486">
        <v>53000</v>
      </c>
      <c r="F2486">
        <v>53000</v>
      </c>
      <c r="G2486" s="1">
        <v>1E-3</v>
      </c>
      <c r="H2486" s="1">
        <v>1E-3</v>
      </c>
      <c r="I2486" s="1">
        <v>1E-3</v>
      </c>
      <c r="J2486" s="1">
        <v>0.38109999999999999</v>
      </c>
    </row>
    <row r="2487" spans="1:10" x14ac:dyDescent="0.2">
      <c r="A2487" t="str">
        <f>"04/08/2016"</f>
        <v>04/08/2016</v>
      </c>
      <c r="B2487">
        <v>3</v>
      </c>
      <c r="C2487">
        <v>53000</v>
      </c>
      <c r="D2487">
        <v>112003</v>
      </c>
      <c r="E2487">
        <v>53000</v>
      </c>
      <c r="F2487">
        <v>53000</v>
      </c>
      <c r="G2487" s="1">
        <v>1E-3</v>
      </c>
      <c r="H2487" s="1">
        <v>1E-3</v>
      </c>
      <c r="I2487" s="1">
        <v>1E-3</v>
      </c>
      <c r="J2487" s="1">
        <v>0.40739999999999998</v>
      </c>
    </row>
    <row r="2488" spans="1:10" x14ac:dyDescent="0.2">
      <c r="A2488" t="str">
        <f>"03/08/2016"</f>
        <v>03/08/2016</v>
      </c>
      <c r="B2488">
        <v>1</v>
      </c>
      <c r="C2488">
        <v>53000</v>
      </c>
      <c r="D2488">
        <v>108539</v>
      </c>
      <c r="E2488">
        <v>53000</v>
      </c>
      <c r="F2488">
        <v>53000</v>
      </c>
      <c r="G2488" s="1">
        <v>1E-3</v>
      </c>
      <c r="H2488" s="1">
        <v>1E-3</v>
      </c>
      <c r="I2488" s="1">
        <v>1E-3</v>
      </c>
      <c r="J2488" s="1">
        <v>0.41539999999999999</v>
      </c>
    </row>
    <row r="2489" spans="1:10" x14ac:dyDescent="0.2">
      <c r="A2489" t="str">
        <f>"02/08/2016"</f>
        <v>02/08/2016</v>
      </c>
      <c r="B2489">
        <v>1</v>
      </c>
      <c r="C2489">
        <v>54000</v>
      </c>
      <c r="D2489">
        <v>100493</v>
      </c>
      <c r="E2489">
        <v>54000</v>
      </c>
      <c r="F2489">
        <v>54000</v>
      </c>
      <c r="G2489" s="1">
        <v>1E-3</v>
      </c>
      <c r="H2489" s="1">
        <v>1E-3</v>
      </c>
      <c r="I2489" s="1">
        <v>1E-3</v>
      </c>
      <c r="J2489" s="1">
        <v>0.46460000000000001</v>
      </c>
    </row>
    <row r="2490" spans="1:10" x14ac:dyDescent="0.2">
      <c r="A2490" t="str">
        <f>"01/08/2016"</f>
        <v>01/08/2016</v>
      </c>
      <c r="B2490">
        <v>1</v>
      </c>
      <c r="C2490">
        <v>54000</v>
      </c>
      <c r="D2490">
        <v>84580</v>
      </c>
      <c r="E2490">
        <v>54000</v>
      </c>
      <c r="F2490">
        <v>54000</v>
      </c>
      <c r="G2490" s="1">
        <v>1E-3</v>
      </c>
      <c r="H2490" s="1">
        <v>1E-3</v>
      </c>
      <c r="I2490" s="1">
        <v>1E-3</v>
      </c>
      <c r="J2490" s="1">
        <v>0.56269999999999998</v>
      </c>
    </row>
    <row r="2491" spans="1:10" x14ac:dyDescent="0.2">
      <c r="A2491" t="str">
        <f>"31/07/2016"</f>
        <v>31/07/2016</v>
      </c>
      <c r="B2491">
        <v>1</v>
      </c>
      <c r="C2491">
        <v>46000</v>
      </c>
      <c r="D2491">
        <v>66625</v>
      </c>
      <c r="E2491">
        <v>46000</v>
      </c>
      <c r="F2491">
        <v>46000</v>
      </c>
      <c r="G2491" s="1">
        <v>1E-3</v>
      </c>
      <c r="H2491" s="1">
        <v>1E-3</v>
      </c>
      <c r="I2491" s="1">
        <v>1E-3</v>
      </c>
      <c r="J2491" s="1">
        <v>0.627</v>
      </c>
    </row>
    <row r="2492" spans="1:10" x14ac:dyDescent="0.2">
      <c r="A2492" t="str">
        <f>"28/07/2016"</f>
        <v>28/07/2016</v>
      </c>
      <c r="B2492">
        <v>3</v>
      </c>
      <c r="C2492">
        <v>44000</v>
      </c>
      <c r="D2492">
        <v>55635</v>
      </c>
      <c r="E2492">
        <v>44000</v>
      </c>
      <c r="F2492">
        <v>44000</v>
      </c>
      <c r="G2492" s="1">
        <v>1E-3</v>
      </c>
      <c r="H2492" s="1">
        <v>1E-3</v>
      </c>
      <c r="I2492" s="1">
        <v>1E-3</v>
      </c>
      <c r="J2492" s="1">
        <v>0.74560000000000004</v>
      </c>
    </row>
    <row r="2493" spans="1:10" x14ac:dyDescent="0.2">
      <c r="A2493" t="str">
        <f>"27/07/2016"</f>
        <v>27/07/2016</v>
      </c>
      <c r="B2493">
        <v>1</v>
      </c>
      <c r="C2493">
        <v>34000</v>
      </c>
      <c r="D2493">
        <v>29785</v>
      </c>
      <c r="E2493">
        <v>29785</v>
      </c>
      <c r="F2493">
        <v>29785</v>
      </c>
      <c r="G2493" s="1">
        <v>1E-3</v>
      </c>
      <c r="H2493" s="1">
        <v>1E-3</v>
      </c>
      <c r="I2493" s="1">
        <v>1E-3</v>
      </c>
      <c r="J2493" s="1">
        <v>1</v>
      </c>
    </row>
    <row r="2494" spans="1:10" x14ac:dyDescent="0.2">
      <c r="A2494" t="str">
        <f>"26/07/2016"</f>
        <v>26/07/2016</v>
      </c>
      <c r="B2494">
        <v>1</v>
      </c>
      <c r="C2494">
        <v>36000</v>
      </c>
      <c r="D2494">
        <v>35137</v>
      </c>
      <c r="E2494">
        <v>35137</v>
      </c>
      <c r="F2494">
        <v>35137</v>
      </c>
      <c r="G2494" s="1">
        <v>1E-3</v>
      </c>
      <c r="H2494" s="1">
        <v>1E-3</v>
      </c>
      <c r="I2494" s="1">
        <v>1E-3</v>
      </c>
      <c r="J2494" s="1">
        <v>1</v>
      </c>
    </row>
    <row r="2495" spans="1:10" x14ac:dyDescent="0.2">
      <c r="A2495" t="str">
        <f>"25/07/2016"</f>
        <v>25/07/2016</v>
      </c>
      <c r="B2495">
        <v>1</v>
      </c>
      <c r="C2495">
        <v>37000</v>
      </c>
      <c r="D2495">
        <v>44108</v>
      </c>
      <c r="E2495">
        <v>37000</v>
      </c>
      <c r="F2495">
        <v>37000</v>
      </c>
      <c r="G2495" s="1">
        <v>1E-3</v>
      </c>
      <c r="H2495" s="1">
        <v>1E-3</v>
      </c>
      <c r="I2495" s="1">
        <v>1E-3</v>
      </c>
      <c r="J2495" s="1">
        <v>0.79430000000000001</v>
      </c>
    </row>
    <row r="2496" spans="1:10" x14ac:dyDescent="0.2">
      <c r="A2496" t="str">
        <f>"24/07/2016"</f>
        <v>24/07/2016</v>
      </c>
      <c r="B2496">
        <v>1</v>
      </c>
      <c r="C2496">
        <v>36000</v>
      </c>
      <c r="D2496">
        <v>50951</v>
      </c>
      <c r="E2496">
        <v>36000</v>
      </c>
      <c r="F2496">
        <v>36000</v>
      </c>
      <c r="G2496" s="1">
        <v>1E-3</v>
      </c>
      <c r="H2496" s="1">
        <v>1E-3</v>
      </c>
      <c r="I2496" s="1">
        <v>1E-3</v>
      </c>
      <c r="J2496" s="1">
        <v>0.63829999999999998</v>
      </c>
    </row>
    <row r="2497" spans="1:10" x14ac:dyDescent="0.2">
      <c r="A2497" t="str">
        <f>"21/07/2016"</f>
        <v>21/07/2016</v>
      </c>
      <c r="B2497">
        <v>3</v>
      </c>
      <c r="C2497">
        <v>40000</v>
      </c>
      <c r="D2497">
        <v>69318</v>
      </c>
      <c r="E2497">
        <v>40000</v>
      </c>
      <c r="F2497">
        <v>40000</v>
      </c>
      <c r="G2497" s="1">
        <v>1E-3</v>
      </c>
      <c r="H2497" s="1">
        <v>1E-3</v>
      </c>
      <c r="I2497" s="1">
        <v>1E-3</v>
      </c>
      <c r="J2497" s="1">
        <v>0.49730000000000002</v>
      </c>
    </row>
    <row r="2498" spans="1:10" x14ac:dyDescent="0.2">
      <c r="A2498" t="str">
        <f>"20/07/2016"</f>
        <v>20/07/2016</v>
      </c>
      <c r="B2498">
        <v>1</v>
      </c>
      <c r="C2498">
        <v>39000</v>
      </c>
      <c r="D2498">
        <v>75749</v>
      </c>
      <c r="E2498">
        <v>39000</v>
      </c>
      <c r="F2498">
        <v>39000</v>
      </c>
      <c r="G2498" s="1">
        <v>1E-3</v>
      </c>
      <c r="H2498" s="1">
        <v>1E-3</v>
      </c>
      <c r="I2498" s="1">
        <v>1E-3</v>
      </c>
      <c r="J2498" s="1">
        <v>0.42080000000000001</v>
      </c>
    </row>
    <row r="2499" spans="1:10" x14ac:dyDescent="0.2">
      <c r="A2499" t="str">
        <f>"19/07/2016"</f>
        <v>19/07/2016</v>
      </c>
      <c r="B2499">
        <v>1</v>
      </c>
      <c r="C2499">
        <v>42000</v>
      </c>
      <c r="D2499">
        <v>78456</v>
      </c>
      <c r="E2499">
        <v>42000</v>
      </c>
      <c r="F2499">
        <v>42000</v>
      </c>
      <c r="G2499" s="1">
        <v>1E-3</v>
      </c>
      <c r="H2499" s="1">
        <v>1E-3</v>
      </c>
      <c r="I2499" s="1">
        <v>1E-3</v>
      </c>
      <c r="J2499" s="1">
        <v>0.44240000000000002</v>
      </c>
    </row>
    <row r="2500" spans="1:10" x14ac:dyDescent="0.2">
      <c r="A2500" t="str">
        <f>"18/07/2016"</f>
        <v>18/07/2016</v>
      </c>
      <c r="B2500">
        <v>1</v>
      </c>
      <c r="C2500">
        <v>44000</v>
      </c>
      <c r="D2500">
        <v>77779</v>
      </c>
      <c r="E2500">
        <v>44000</v>
      </c>
      <c r="F2500">
        <v>44000</v>
      </c>
      <c r="G2500" s="1">
        <v>1E-3</v>
      </c>
      <c r="H2500" s="1">
        <v>1E-3</v>
      </c>
      <c r="I2500" s="1">
        <v>1E-3</v>
      </c>
      <c r="J2500" s="1">
        <v>0.47370000000000001</v>
      </c>
    </row>
    <row r="2501" spans="1:10" x14ac:dyDescent="0.2">
      <c r="A2501" t="str">
        <f>"17/07/2016"</f>
        <v>17/07/2016</v>
      </c>
      <c r="B2501">
        <v>1</v>
      </c>
      <c r="C2501">
        <v>44000</v>
      </c>
      <c r="D2501">
        <v>82808</v>
      </c>
      <c r="E2501">
        <v>44000</v>
      </c>
      <c r="F2501">
        <v>44000</v>
      </c>
      <c r="G2501" s="1">
        <v>1E-3</v>
      </c>
      <c r="H2501" s="1">
        <v>1E-3</v>
      </c>
      <c r="I2501" s="1">
        <v>1E-3</v>
      </c>
      <c r="J2501" s="1">
        <v>0.45340000000000003</v>
      </c>
    </row>
    <row r="2502" spans="1:10" x14ac:dyDescent="0.2">
      <c r="A2502" t="str">
        <f>"14/07/2016"</f>
        <v>14/07/2016</v>
      </c>
      <c r="B2502">
        <v>3</v>
      </c>
      <c r="C2502">
        <v>60000</v>
      </c>
      <c r="D2502">
        <v>123997</v>
      </c>
      <c r="E2502">
        <v>60000</v>
      </c>
      <c r="F2502">
        <v>60000</v>
      </c>
      <c r="G2502" s="1">
        <v>1E-3</v>
      </c>
      <c r="H2502" s="1">
        <v>1E-3</v>
      </c>
      <c r="I2502" s="1">
        <v>1E-3</v>
      </c>
      <c r="J2502" s="1">
        <v>0.4123</v>
      </c>
    </row>
    <row r="2503" spans="1:10" x14ac:dyDescent="0.2">
      <c r="A2503" t="str">
        <f>"13/07/2016"</f>
        <v>13/07/2016</v>
      </c>
      <c r="B2503">
        <v>1</v>
      </c>
      <c r="C2503">
        <v>59000</v>
      </c>
      <c r="D2503">
        <v>131151</v>
      </c>
      <c r="E2503">
        <v>59000</v>
      </c>
      <c r="F2503">
        <v>59000</v>
      </c>
      <c r="G2503" s="1">
        <v>1E-3</v>
      </c>
      <c r="H2503" s="1">
        <v>1E-3</v>
      </c>
      <c r="I2503" s="1">
        <v>1E-3</v>
      </c>
      <c r="J2503" s="1">
        <v>0.37440000000000001</v>
      </c>
    </row>
    <row r="2504" spans="1:10" x14ac:dyDescent="0.2">
      <c r="A2504" t="str">
        <f>"12/07/2016"</f>
        <v>12/07/2016</v>
      </c>
      <c r="B2504">
        <v>1</v>
      </c>
      <c r="C2504">
        <v>59000</v>
      </c>
      <c r="D2504">
        <v>133706</v>
      </c>
      <c r="E2504">
        <v>59000</v>
      </c>
      <c r="F2504">
        <v>59000</v>
      </c>
      <c r="G2504" s="1">
        <v>1E-3</v>
      </c>
      <c r="H2504" s="1">
        <v>1E-3</v>
      </c>
      <c r="I2504" s="1">
        <v>1E-3</v>
      </c>
      <c r="J2504" s="1">
        <v>0.3695</v>
      </c>
    </row>
    <row r="2505" spans="1:10" x14ac:dyDescent="0.2">
      <c r="A2505" t="str">
        <f>"11/07/2016"</f>
        <v>11/07/2016</v>
      </c>
      <c r="B2505">
        <v>1</v>
      </c>
      <c r="C2505">
        <v>60000</v>
      </c>
      <c r="D2505">
        <v>134956</v>
      </c>
      <c r="E2505">
        <v>60000</v>
      </c>
      <c r="F2505">
        <v>60000</v>
      </c>
      <c r="G2505" s="1">
        <v>1E-3</v>
      </c>
      <c r="H2505" s="1">
        <v>1E-3</v>
      </c>
      <c r="I2505" s="1">
        <v>1E-3</v>
      </c>
      <c r="J2505" s="1">
        <v>0.36609999999999998</v>
      </c>
    </row>
    <row r="2506" spans="1:10" x14ac:dyDescent="0.2">
      <c r="A2506" t="str">
        <f>"10/07/2016"</f>
        <v>10/07/2016</v>
      </c>
      <c r="B2506">
        <v>1</v>
      </c>
      <c r="C2506">
        <v>60000</v>
      </c>
      <c r="D2506">
        <v>165411</v>
      </c>
      <c r="E2506">
        <v>60000</v>
      </c>
      <c r="F2506">
        <v>60000</v>
      </c>
      <c r="G2506" s="1">
        <v>1E-3</v>
      </c>
      <c r="H2506" s="1">
        <v>1E-3</v>
      </c>
      <c r="I2506" s="1">
        <v>1E-3</v>
      </c>
      <c r="J2506" s="1">
        <v>0.29909999999999998</v>
      </c>
    </row>
    <row r="2507" spans="1:10" x14ac:dyDescent="0.2">
      <c r="A2507" t="str">
        <f>"07/07/2016"</f>
        <v>07/07/2016</v>
      </c>
      <c r="B2507">
        <v>3</v>
      </c>
      <c r="C2507">
        <v>60000</v>
      </c>
      <c r="D2507">
        <v>164377</v>
      </c>
      <c r="E2507">
        <v>60000</v>
      </c>
      <c r="F2507">
        <v>60000</v>
      </c>
      <c r="G2507" s="1">
        <v>1E-3</v>
      </c>
      <c r="H2507" s="1">
        <v>1E-3</v>
      </c>
      <c r="I2507" s="1">
        <v>1E-3</v>
      </c>
      <c r="J2507" s="1">
        <v>0.30070000000000002</v>
      </c>
    </row>
    <row r="2508" spans="1:10" x14ac:dyDescent="0.2">
      <c r="A2508" t="str">
        <f>"06/07/2016"</f>
        <v>06/07/2016</v>
      </c>
      <c r="B2508">
        <v>1</v>
      </c>
      <c r="C2508">
        <v>60000</v>
      </c>
      <c r="D2508">
        <v>162750</v>
      </c>
      <c r="E2508">
        <v>60000</v>
      </c>
      <c r="F2508">
        <v>60000</v>
      </c>
      <c r="G2508" s="1">
        <v>1E-3</v>
      </c>
      <c r="H2508" s="1">
        <v>1E-3</v>
      </c>
      <c r="I2508" s="1">
        <v>1E-3</v>
      </c>
      <c r="J2508" s="1">
        <v>0.29239999999999999</v>
      </c>
    </row>
    <row r="2509" spans="1:10" x14ac:dyDescent="0.2">
      <c r="A2509" t="str">
        <f>"05/07/2016"</f>
        <v>05/07/2016</v>
      </c>
      <c r="B2509">
        <v>1</v>
      </c>
      <c r="C2509">
        <v>59000</v>
      </c>
      <c r="D2509">
        <v>149207</v>
      </c>
      <c r="E2509">
        <v>59000</v>
      </c>
      <c r="F2509">
        <v>59000</v>
      </c>
      <c r="G2509" s="1">
        <v>1E-3</v>
      </c>
      <c r="H2509" s="1">
        <v>1E-3</v>
      </c>
      <c r="I2509" s="1">
        <v>1E-3</v>
      </c>
      <c r="J2509" s="1">
        <v>0.32279999999999998</v>
      </c>
    </row>
    <row r="2510" spans="1:10" x14ac:dyDescent="0.2">
      <c r="A2510" t="str">
        <f>"04/07/2016"</f>
        <v>04/07/2016</v>
      </c>
      <c r="B2510">
        <v>1</v>
      </c>
      <c r="C2510">
        <v>59000</v>
      </c>
      <c r="D2510">
        <v>128552</v>
      </c>
      <c r="E2510">
        <v>59000</v>
      </c>
      <c r="F2510">
        <v>59000</v>
      </c>
      <c r="G2510" s="1">
        <v>1E-3</v>
      </c>
      <c r="H2510" s="1">
        <v>1E-3</v>
      </c>
      <c r="I2510" s="1">
        <v>1E-3</v>
      </c>
      <c r="J2510" s="1">
        <v>0.38179999999999997</v>
      </c>
    </row>
    <row r="2511" spans="1:10" x14ac:dyDescent="0.2">
      <c r="A2511" t="str">
        <f>"03/07/2016"</f>
        <v>03/07/2016</v>
      </c>
      <c r="B2511">
        <v>1</v>
      </c>
      <c r="C2511">
        <v>57000</v>
      </c>
      <c r="D2511">
        <v>94565</v>
      </c>
      <c r="E2511">
        <v>57000</v>
      </c>
      <c r="F2511">
        <v>57000</v>
      </c>
      <c r="G2511" s="1">
        <v>1E-3</v>
      </c>
      <c r="H2511" s="1">
        <v>1E-3</v>
      </c>
      <c r="I2511" s="1">
        <v>1E-3</v>
      </c>
      <c r="J2511" s="1">
        <v>0.52639999999999998</v>
      </c>
    </row>
    <row r="2512" spans="1:10" x14ac:dyDescent="0.2">
      <c r="A2512" t="str">
        <f>"30/06/2016"</f>
        <v>30/06/2016</v>
      </c>
      <c r="B2512">
        <v>3</v>
      </c>
      <c r="C2512">
        <v>48000</v>
      </c>
      <c r="D2512">
        <v>59379</v>
      </c>
      <c r="E2512">
        <v>48000</v>
      </c>
      <c r="F2512">
        <v>48000</v>
      </c>
      <c r="G2512" s="1">
        <v>1E-3</v>
      </c>
      <c r="H2512" s="1">
        <v>1E-3</v>
      </c>
      <c r="I2512" s="1">
        <v>1E-3</v>
      </c>
      <c r="J2512" s="1">
        <v>0.76170000000000004</v>
      </c>
    </row>
    <row r="2513" spans="1:10" x14ac:dyDescent="0.2">
      <c r="A2513" t="str">
        <f>"29/06/2016"</f>
        <v>29/06/2016</v>
      </c>
      <c r="B2513">
        <v>1</v>
      </c>
      <c r="C2513">
        <v>40000</v>
      </c>
      <c r="D2513">
        <v>37470</v>
      </c>
      <c r="E2513">
        <v>37470</v>
      </c>
      <c r="F2513">
        <v>37470</v>
      </c>
      <c r="G2513" s="1">
        <v>1E-3</v>
      </c>
      <c r="H2513" s="1">
        <v>8.9999999999999998E-4</v>
      </c>
      <c r="I2513" s="1">
        <v>8.9999999999999998E-4</v>
      </c>
      <c r="J2513" s="1">
        <v>1</v>
      </c>
    </row>
    <row r="2514" spans="1:10" x14ac:dyDescent="0.2">
      <c r="A2514" t="str">
        <f>"28/06/2016"</f>
        <v>28/06/2016</v>
      </c>
      <c r="B2514">
        <v>1</v>
      </c>
      <c r="C2514">
        <v>39000</v>
      </c>
      <c r="D2514">
        <v>36451</v>
      </c>
      <c r="E2514">
        <v>36451</v>
      </c>
      <c r="F2514">
        <v>36451</v>
      </c>
      <c r="G2514" s="1">
        <v>1E-3</v>
      </c>
      <c r="H2514" s="1">
        <v>8.9999999999999998E-4</v>
      </c>
      <c r="I2514" s="1">
        <v>8.9999999999999998E-4</v>
      </c>
      <c r="J2514" s="1">
        <v>1</v>
      </c>
    </row>
    <row r="2515" spans="1:10" x14ac:dyDescent="0.2">
      <c r="A2515" t="str">
        <f>"27/06/2016"</f>
        <v>27/06/2016</v>
      </c>
      <c r="B2515">
        <v>1</v>
      </c>
      <c r="C2515">
        <v>39000</v>
      </c>
      <c r="D2515">
        <v>35878</v>
      </c>
      <c r="E2515">
        <v>35878</v>
      </c>
      <c r="F2515">
        <v>35878</v>
      </c>
      <c r="G2515" s="1">
        <v>1E-3</v>
      </c>
      <c r="H2515" s="1">
        <v>1E-3</v>
      </c>
      <c r="I2515" s="1">
        <v>1E-3</v>
      </c>
      <c r="J2515" s="1">
        <v>1</v>
      </c>
    </row>
    <row r="2516" spans="1:10" x14ac:dyDescent="0.2">
      <c r="A2516" t="str">
        <f>"26/06/2016"</f>
        <v>26/06/2016</v>
      </c>
      <c r="B2516">
        <v>1</v>
      </c>
      <c r="C2516">
        <v>39000</v>
      </c>
      <c r="D2516">
        <v>40047</v>
      </c>
      <c r="E2516">
        <v>39000</v>
      </c>
      <c r="F2516">
        <v>39000</v>
      </c>
      <c r="G2516" s="1">
        <v>1E-3</v>
      </c>
      <c r="H2516" s="1">
        <v>1E-3</v>
      </c>
      <c r="I2516" s="1">
        <v>1E-3</v>
      </c>
      <c r="J2516" s="1">
        <v>0.95420000000000005</v>
      </c>
    </row>
    <row r="2517" spans="1:10" x14ac:dyDescent="0.2">
      <c r="A2517" t="str">
        <f>"23/06/2016"</f>
        <v>23/06/2016</v>
      </c>
      <c r="B2517">
        <v>3</v>
      </c>
      <c r="C2517">
        <v>39000</v>
      </c>
      <c r="D2517">
        <v>45466</v>
      </c>
      <c r="E2517">
        <v>39000</v>
      </c>
      <c r="F2517">
        <v>39000</v>
      </c>
      <c r="G2517" s="1">
        <v>1E-3</v>
      </c>
      <c r="H2517" s="1">
        <v>1E-3</v>
      </c>
      <c r="I2517" s="1">
        <v>1E-3</v>
      </c>
      <c r="J2517" s="1">
        <v>0.79210000000000003</v>
      </c>
    </row>
    <row r="2518" spans="1:10" x14ac:dyDescent="0.2">
      <c r="A2518" t="str">
        <f>"22/06/2016"</f>
        <v>22/06/2016</v>
      </c>
      <c r="B2518">
        <v>1</v>
      </c>
      <c r="C2518">
        <v>40000</v>
      </c>
      <c r="D2518">
        <v>52764</v>
      </c>
      <c r="E2518">
        <v>40000</v>
      </c>
      <c r="F2518">
        <v>40000</v>
      </c>
      <c r="G2518" s="1">
        <v>1E-3</v>
      </c>
      <c r="H2518" s="1">
        <v>1E-3</v>
      </c>
      <c r="I2518" s="1">
        <v>1E-3</v>
      </c>
      <c r="J2518" s="1">
        <v>0.67869999999999997</v>
      </c>
    </row>
    <row r="2519" spans="1:10" x14ac:dyDescent="0.2">
      <c r="A2519" t="str">
        <f>"21/06/2016"</f>
        <v>21/06/2016</v>
      </c>
      <c r="B2519">
        <v>1</v>
      </c>
      <c r="C2519">
        <v>41000</v>
      </c>
      <c r="D2519">
        <v>66559</v>
      </c>
      <c r="E2519">
        <v>41000</v>
      </c>
      <c r="F2519">
        <v>41000</v>
      </c>
      <c r="G2519" s="1">
        <v>1E-3</v>
      </c>
      <c r="H2519" s="1">
        <v>1E-3</v>
      </c>
      <c r="I2519" s="1">
        <v>1E-3</v>
      </c>
      <c r="J2519" s="1">
        <v>0.50560000000000005</v>
      </c>
    </row>
    <row r="2520" spans="1:10" x14ac:dyDescent="0.2">
      <c r="A2520" t="str">
        <f>"20/06/2016"</f>
        <v>20/06/2016</v>
      </c>
      <c r="B2520">
        <v>1</v>
      </c>
      <c r="C2520">
        <v>42000</v>
      </c>
      <c r="D2520">
        <v>77403</v>
      </c>
      <c r="E2520">
        <v>42000</v>
      </c>
      <c r="F2520">
        <v>42000</v>
      </c>
      <c r="G2520" s="1">
        <v>1E-3</v>
      </c>
      <c r="H2520" s="1">
        <v>1E-3</v>
      </c>
      <c r="I2520" s="1">
        <v>1E-3</v>
      </c>
      <c r="J2520" s="1">
        <v>0.4375</v>
      </c>
    </row>
    <row r="2521" spans="1:10" x14ac:dyDescent="0.2">
      <c r="A2521" t="str">
        <f>"19/06/2016"</f>
        <v>19/06/2016</v>
      </c>
      <c r="B2521">
        <v>1</v>
      </c>
      <c r="C2521">
        <v>42000</v>
      </c>
      <c r="D2521">
        <v>83381</v>
      </c>
      <c r="E2521">
        <v>42000</v>
      </c>
      <c r="F2521">
        <v>42000</v>
      </c>
      <c r="G2521" s="1">
        <v>1E-3</v>
      </c>
      <c r="H2521" s="1">
        <v>1E-3</v>
      </c>
      <c r="I2521" s="1">
        <v>1E-3</v>
      </c>
      <c r="J2521" s="1">
        <v>0.39679999999999999</v>
      </c>
    </row>
    <row r="2522" spans="1:10" x14ac:dyDescent="0.2">
      <c r="A2522" t="str">
        <f>"16/06/2016"</f>
        <v>16/06/2016</v>
      </c>
      <c r="B2522">
        <v>3</v>
      </c>
      <c r="C2522">
        <v>51000</v>
      </c>
      <c r="D2522">
        <v>106400</v>
      </c>
      <c r="E2522">
        <v>51000</v>
      </c>
      <c r="F2522">
        <v>51000</v>
      </c>
      <c r="G2522" s="1">
        <v>1E-3</v>
      </c>
      <c r="H2522" s="1">
        <v>1E-3</v>
      </c>
      <c r="I2522" s="1">
        <v>1E-3</v>
      </c>
      <c r="J2522" s="1">
        <v>0.39510000000000001</v>
      </c>
    </row>
    <row r="2523" spans="1:10" x14ac:dyDescent="0.2">
      <c r="A2523" t="str">
        <f>"15/06/2016"</f>
        <v>15/06/2016</v>
      </c>
      <c r="B2523">
        <v>1</v>
      </c>
      <c r="C2523">
        <v>56000</v>
      </c>
      <c r="D2523">
        <v>125146</v>
      </c>
      <c r="E2523">
        <v>56000</v>
      </c>
      <c r="F2523">
        <v>56000</v>
      </c>
      <c r="G2523" s="1">
        <v>1E-3</v>
      </c>
      <c r="H2523" s="1">
        <v>1E-3</v>
      </c>
      <c r="I2523" s="1">
        <v>1E-3</v>
      </c>
      <c r="J2523" s="1">
        <v>0.37930000000000003</v>
      </c>
    </row>
    <row r="2524" spans="1:10" x14ac:dyDescent="0.2">
      <c r="A2524" t="str">
        <f>"14/06/2016"</f>
        <v>14/06/2016</v>
      </c>
      <c r="B2524">
        <v>1</v>
      </c>
      <c r="C2524">
        <v>57000</v>
      </c>
      <c r="D2524">
        <v>130726</v>
      </c>
      <c r="E2524">
        <v>57000</v>
      </c>
      <c r="F2524">
        <v>57000</v>
      </c>
      <c r="G2524" s="1">
        <v>1E-3</v>
      </c>
      <c r="H2524" s="1">
        <v>1E-3</v>
      </c>
      <c r="I2524" s="1">
        <v>1E-3</v>
      </c>
      <c r="J2524" s="1">
        <v>0.37390000000000001</v>
      </c>
    </row>
    <row r="2525" spans="1:10" x14ac:dyDescent="0.2">
      <c r="A2525" t="str">
        <f>"13/06/2016"</f>
        <v>13/06/2016</v>
      </c>
      <c r="B2525">
        <v>1</v>
      </c>
      <c r="C2525">
        <v>58000</v>
      </c>
      <c r="D2525">
        <v>137423</v>
      </c>
      <c r="E2525">
        <v>58000</v>
      </c>
      <c r="F2525">
        <v>58000</v>
      </c>
      <c r="G2525" s="1">
        <v>1E-3</v>
      </c>
      <c r="H2525" s="1">
        <v>1E-3</v>
      </c>
      <c r="I2525" s="1">
        <v>1E-3</v>
      </c>
      <c r="J2525" s="1">
        <v>0.36209999999999998</v>
      </c>
    </row>
    <row r="2526" spans="1:10" x14ac:dyDescent="0.2">
      <c r="A2526" t="str">
        <f>"09/06/2016"</f>
        <v>09/06/2016</v>
      </c>
      <c r="B2526">
        <v>4</v>
      </c>
      <c r="C2526">
        <v>59000</v>
      </c>
      <c r="D2526">
        <v>149172</v>
      </c>
      <c r="E2526">
        <v>59000</v>
      </c>
      <c r="F2526">
        <v>59000</v>
      </c>
      <c r="G2526" s="1">
        <v>1E-3</v>
      </c>
      <c r="H2526" s="1">
        <v>1E-3</v>
      </c>
      <c r="I2526" s="1">
        <v>1E-3</v>
      </c>
      <c r="J2526" s="1">
        <v>0.3211</v>
      </c>
    </row>
    <row r="2527" spans="1:10" x14ac:dyDescent="0.2">
      <c r="A2527" t="str">
        <f>"08/06/2016"</f>
        <v>08/06/2016</v>
      </c>
      <c r="B2527">
        <v>1</v>
      </c>
      <c r="C2527">
        <v>61000</v>
      </c>
      <c r="D2527">
        <v>170511</v>
      </c>
      <c r="E2527">
        <v>61000</v>
      </c>
      <c r="F2527">
        <v>61000</v>
      </c>
      <c r="G2527" s="1">
        <v>1E-3</v>
      </c>
      <c r="H2527" s="1">
        <v>1E-3</v>
      </c>
      <c r="I2527" s="1">
        <v>1E-3</v>
      </c>
      <c r="J2527" s="1">
        <v>0.29399999999999998</v>
      </c>
    </row>
    <row r="2528" spans="1:10" x14ac:dyDescent="0.2">
      <c r="A2528" t="str">
        <f>"07/06/2016"</f>
        <v>07/06/2016</v>
      </c>
      <c r="B2528">
        <v>1</v>
      </c>
      <c r="C2528">
        <v>60000</v>
      </c>
      <c r="D2528">
        <v>158736</v>
      </c>
      <c r="E2528">
        <v>60000</v>
      </c>
      <c r="F2528">
        <v>60000</v>
      </c>
      <c r="G2528" s="1">
        <v>1E-3</v>
      </c>
      <c r="H2528" s="1">
        <v>1E-3</v>
      </c>
      <c r="I2528" s="1">
        <v>1E-3</v>
      </c>
      <c r="J2528" s="1">
        <v>0.30049999999999999</v>
      </c>
    </row>
    <row r="2529" spans="1:10" x14ac:dyDescent="0.2">
      <c r="A2529" t="str">
        <f>"06/06/2016"</f>
        <v>06/06/2016</v>
      </c>
      <c r="B2529">
        <v>1</v>
      </c>
      <c r="C2529">
        <v>60000</v>
      </c>
      <c r="D2529">
        <v>161840</v>
      </c>
      <c r="E2529">
        <v>60000</v>
      </c>
      <c r="F2529">
        <v>60000</v>
      </c>
      <c r="G2529" s="1">
        <v>1E-3</v>
      </c>
      <c r="H2529" s="1">
        <v>1E-3</v>
      </c>
      <c r="I2529" s="1">
        <v>1E-3</v>
      </c>
      <c r="J2529" s="1">
        <v>0.29420000000000002</v>
      </c>
    </row>
    <row r="2530" spans="1:10" x14ac:dyDescent="0.2">
      <c r="A2530" t="str">
        <f>"05/06/2016"</f>
        <v>05/06/2016</v>
      </c>
      <c r="B2530">
        <v>1</v>
      </c>
      <c r="C2530">
        <v>60000</v>
      </c>
      <c r="D2530">
        <v>154703</v>
      </c>
      <c r="E2530">
        <v>60000</v>
      </c>
      <c r="F2530">
        <v>60000</v>
      </c>
      <c r="G2530" s="1">
        <v>1E-3</v>
      </c>
      <c r="H2530" s="1">
        <v>1E-3</v>
      </c>
      <c r="I2530" s="1">
        <v>1E-3</v>
      </c>
      <c r="J2530" s="1">
        <v>0.31190000000000001</v>
      </c>
    </row>
    <row r="2531" spans="1:10" x14ac:dyDescent="0.2">
      <c r="A2531" t="str">
        <f>"02/06/2016"</f>
        <v>02/06/2016</v>
      </c>
      <c r="B2531">
        <v>3</v>
      </c>
      <c r="C2531">
        <v>60000</v>
      </c>
      <c r="D2531">
        <v>146874</v>
      </c>
      <c r="E2531">
        <v>60000</v>
      </c>
      <c r="F2531">
        <v>60000</v>
      </c>
      <c r="G2531" s="1">
        <v>1E-3</v>
      </c>
      <c r="H2531" s="1">
        <v>1E-3</v>
      </c>
      <c r="I2531" s="1">
        <v>1E-3</v>
      </c>
      <c r="J2531" s="1">
        <v>0.34039999999999998</v>
      </c>
    </row>
    <row r="2532" spans="1:10" x14ac:dyDescent="0.2">
      <c r="A2532" t="str">
        <f>"01/06/2016"</f>
        <v>01/06/2016</v>
      </c>
      <c r="B2532">
        <v>1</v>
      </c>
      <c r="C2532">
        <v>59000</v>
      </c>
      <c r="D2532">
        <v>124316</v>
      </c>
      <c r="E2532">
        <v>59000</v>
      </c>
      <c r="F2532">
        <v>59000</v>
      </c>
      <c r="G2532" s="1">
        <v>1E-3</v>
      </c>
      <c r="H2532" s="1">
        <v>1E-3</v>
      </c>
      <c r="I2532" s="1">
        <v>1E-3</v>
      </c>
      <c r="J2532" s="1">
        <v>0.37009999999999998</v>
      </c>
    </row>
    <row r="2533" spans="1:10" x14ac:dyDescent="0.2">
      <c r="A2533" t="str">
        <f>"31/05/2016"</f>
        <v>31/05/2016</v>
      </c>
      <c r="B2533">
        <v>1</v>
      </c>
      <c r="C2533">
        <v>54000</v>
      </c>
      <c r="D2533">
        <v>107612</v>
      </c>
      <c r="E2533">
        <v>54000</v>
      </c>
      <c r="F2533">
        <v>54000</v>
      </c>
      <c r="G2533" s="1">
        <v>1E-3</v>
      </c>
      <c r="H2533" s="1">
        <v>1E-3</v>
      </c>
      <c r="I2533" s="1">
        <v>1E-3</v>
      </c>
      <c r="J2533" s="1">
        <v>0.41710000000000003</v>
      </c>
    </row>
    <row r="2534" spans="1:10" x14ac:dyDescent="0.2">
      <c r="A2534" t="str">
        <f>"30/05/2016"</f>
        <v>30/05/2016</v>
      </c>
      <c r="B2534">
        <v>1</v>
      </c>
      <c r="C2534">
        <v>43000</v>
      </c>
      <c r="D2534">
        <v>78938</v>
      </c>
      <c r="E2534">
        <v>43000</v>
      </c>
      <c r="F2534">
        <v>43000</v>
      </c>
      <c r="G2534" s="1">
        <v>1E-3</v>
      </c>
      <c r="H2534" s="1">
        <v>1E-3</v>
      </c>
      <c r="I2534" s="1">
        <v>1E-3</v>
      </c>
      <c r="J2534" s="1">
        <v>0.45379999999999998</v>
      </c>
    </row>
    <row r="2535" spans="1:10" x14ac:dyDescent="0.2">
      <c r="A2535" t="str">
        <f>"29/05/2016"</f>
        <v>29/05/2016</v>
      </c>
      <c r="B2535">
        <v>1</v>
      </c>
      <c r="C2535">
        <v>43000</v>
      </c>
      <c r="D2535">
        <v>67337</v>
      </c>
      <c r="E2535">
        <v>43000</v>
      </c>
      <c r="F2535">
        <v>43000</v>
      </c>
      <c r="G2535" s="1">
        <v>1E-3</v>
      </c>
      <c r="H2535" s="1">
        <v>1E-3</v>
      </c>
      <c r="I2535" s="1">
        <v>1E-3</v>
      </c>
      <c r="J2535" s="1">
        <v>0.56130000000000002</v>
      </c>
    </row>
    <row r="2536" spans="1:10" x14ac:dyDescent="0.2">
      <c r="A2536" t="str">
        <f>"26/05/2016"</f>
        <v>26/05/2016</v>
      </c>
      <c r="B2536">
        <v>3</v>
      </c>
      <c r="C2536">
        <v>39000</v>
      </c>
      <c r="D2536">
        <v>48140</v>
      </c>
      <c r="E2536">
        <v>39000</v>
      </c>
      <c r="F2536">
        <v>39000</v>
      </c>
      <c r="G2536" s="1">
        <v>1E-3</v>
      </c>
      <c r="H2536" s="1">
        <v>1E-3</v>
      </c>
      <c r="I2536" s="1">
        <v>1E-3</v>
      </c>
      <c r="J2536" s="1">
        <v>0.74760000000000004</v>
      </c>
    </row>
    <row r="2537" spans="1:10" x14ac:dyDescent="0.2">
      <c r="A2537" t="str">
        <f>"25/05/2016"</f>
        <v>25/05/2016</v>
      </c>
      <c r="B2537">
        <v>1</v>
      </c>
      <c r="C2537">
        <v>33000</v>
      </c>
      <c r="D2537">
        <v>29001</v>
      </c>
      <c r="E2537">
        <v>29001</v>
      </c>
      <c r="F2537">
        <v>29001</v>
      </c>
      <c r="G2537" s="1">
        <v>1E-3</v>
      </c>
      <c r="H2537" s="1">
        <v>8.9999999999999998E-4</v>
      </c>
      <c r="I2537" s="1">
        <v>8.9999999999999998E-4</v>
      </c>
      <c r="J2537" s="1">
        <v>1</v>
      </c>
    </row>
    <row r="2538" spans="1:10" x14ac:dyDescent="0.2">
      <c r="A2538" t="str">
        <f>"24/05/2016"</f>
        <v>24/05/2016</v>
      </c>
      <c r="B2538">
        <v>1</v>
      </c>
      <c r="C2538">
        <v>32000</v>
      </c>
      <c r="D2538">
        <v>27558</v>
      </c>
      <c r="E2538">
        <v>27558</v>
      </c>
      <c r="F2538">
        <v>27558</v>
      </c>
      <c r="G2538" s="1">
        <v>1E-3</v>
      </c>
      <c r="H2538" s="1">
        <v>1E-3</v>
      </c>
      <c r="I2538" s="1">
        <v>1E-3</v>
      </c>
      <c r="J2538" s="1">
        <v>1</v>
      </c>
    </row>
    <row r="2539" spans="1:10" x14ac:dyDescent="0.2">
      <c r="A2539" t="str">
        <f>"23/05/2016"</f>
        <v>23/05/2016</v>
      </c>
      <c r="B2539">
        <v>1</v>
      </c>
      <c r="C2539">
        <v>32000</v>
      </c>
      <c r="D2539">
        <v>32756</v>
      </c>
      <c r="E2539">
        <v>32000</v>
      </c>
      <c r="F2539">
        <v>32000</v>
      </c>
      <c r="G2539" s="1">
        <v>1E-3</v>
      </c>
      <c r="H2539" s="1">
        <v>1E-3</v>
      </c>
      <c r="I2539" s="1">
        <v>1E-3</v>
      </c>
      <c r="J2539" s="1">
        <v>0.96530000000000005</v>
      </c>
    </row>
    <row r="2540" spans="1:10" x14ac:dyDescent="0.2">
      <c r="A2540" t="str">
        <f>"22/05/2016"</f>
        <v>22/05/2016</v>
      </c>
      <c r="B2540">
        <v>1</v>
      </c>
      <c r="C2540">
        <v>35000</v>
      </c>
      <c r="D2540">
        <v>37455</v>
      </c>
      <c r="E2540">
        <v>35000</v>
      </c>
      <c r="F2540">
        <v>35000</v>
      </c>
      <c r="G2540" s="1">
        <v>1E-3</v>
      </c>
      <c r="H2540" s="1">
        <v>1E-3</v>
      </c>
      <c r="I2540" s="1">
        <v>1E-3</v>
      </c>
      <c r="J2540" s="1">
        <v>0.9153</v>
      </c>
    </row>
    <row r="2541" spans="1:10" x14ac:dyDescent="0.2">
      <c r="A2541" t="str">
        <f>"19/05/2016"</f>
        <v>19/05/2016</v>
      </c>
      <c r="B2541">
        <v>3</v>
      </c>
      <c r="C2541">
        <v>37000</v>
      </c>
      <c r="D2541">
        <v>47150</v>
      </c>
      <c r="E2541">
        <v>37000</v>
      </c>
      <c r="F2541">
        <v>37000</v>
      </c>
      <c r="G2541" s="1">
        <v>1E-3</v>
      </c>
      <c r="H2541" s="1">
        <v>1E-3</v>
      </c>
      <c r="I2541" s="1">
        <v>1E-3</v>
      </c>
      <c r="J2541" s="1">
        <v>0.72189999999999999</v>
      </c>
    </row>
    <row r="2542" spans="1:10" x14ac:dyDescent="0.2">
      <c r="A2542" t="str">
        <f>"18/05/2016"</f>
        <v>18/05/2016</v>
      </c>
      <c r="B2542">
        <v>1</v>
      </c>
      <c r="C2542">
        <v>38000</v>
      </c>
      <c r="D2542">
        <v>59582</v>
      </c>
      <c r="E2542">
        <v>38000</v>
      </c>
      <c r="F2542">
        <v>38000</v>
      </c>
      <c r="G2542" s="1">
        <v>1E-3</v>
      </c>
      <c r="H2542" s="1">
        <v>1E-3</v>
      </c>
      <c r="I2542" s="1">
        <v>1E-3</v>
      </c>
      <c r="J2542" s="1">
        <v>0.56640000000000001</v>
      </c>
    </row>
    <row r="2543" spans="1:10" x14ac:dyDescent="0.2">
      <c r="A2543" t="str">
        <f>"17/05/2016"</f>
        <v>17/05/2016</v>
      </c>
      <c r="B2543">
        <v>1</v>
      </c>
      <c r="C2543">
        <v>48000</v>
      </c>
      <c r="D2543">
        <v>91287</v>
      </c>
      <c r="E2543">
        <v>48000</v>
      </c>
      <c r="F2543">
        <v>48000</v>
      </c>
      <c r="G2543" s="1">
        <v>1E-3</v>
      </c>
      <c r="H2543" s="1">
        <v>1E-3</v>
      </c>
      <c r="I2543" s="1">
        <v>1E-3</v>
      </c>
      <c r="J2543" s="1">
        <v>0.4521</v>
      </c>
    </row>
    <row r="2544" spans="1:10" x14ac:dyDescent="0.2">
      <c r="A2544" t="str">
        <f>"16/05/2016"</f>
        <v>16/05/2016</v>
      </c>
      <c r="B2544">
        <v>1</v>
      </c>
      <c r="C2544">
        <v>51000</v>
      </c>
      <c r="D2544">
        <v>106393</v>
      </c>
      <c r="E2544">
        <v>51000</v>
      </c>
      <c r="F2544">
        <v>51000</v>
      </c>
      <c r="G2544" s="1">
        <v>1E-3</v>
      </c>
      <c r="H2544" s="1">
        <v>1E-3</v>
      </c>
      <c r="I2544" s="1">
        <v>1E-3</v>
      </c>
      <c r="J2544" s="1">
        <v>0.40239999999999998</v>
      </c>
    </row>
    <row r="2545" spans="1:10" x14ac:dyDescent="0.2">
      <c r="A2545" t="str">
        <f>"15/05/2016"</f>
        <v>15/05/2016</v>
      </c>
      <c r="B2545">
        <v>1</v>
      </c>
      <c r="C2545">
        <v>53000</v>
      </c>
      <c r="D2545">
        <v>118382</v>
      </c>
      <c r="E2545">
        <v>53000</v>
      </c>
      <c r="F2545">
        <v>53000</v>
      </c>
      <c r="G2545" s="1">
        <v>1E-3</v>
      </c>
      <c r="H2545" s="1">
        <v>1E-3</v>
      </c>
      <c r="I2545" s="1">
        <v>1E-3</v>
      </c>
      <c r="J2545" s="1">
        <v>0.3695</v>
      </c>
    </row>
    <row r="2546" spans="1:10" x14ac:dyDescent="0.2">
      <c r="A2546" t="str">
        <f>"11/05/2016"</f>
        <v>11/05/2016</v>
      </c>
      <c r="B2546">
        <v>4</v>
      </c>
      <c r="C2546">
        <v>55000</v>
      </c>
      <c r="D2546">
        <v>143398</v>
      </c>
      <c r="E2546">
        <v>55000</v>
      </c>
      <c r="F2546">
        <v>55000</v>
      </c>
      <c r="G2546" s="1">
        <v>1E-3</v>
      </c>
      <c r="H2546" s="1">
        <v>1E-3</v>
      </c>
      <c r="I2546" s="1">
        <v>1E-3</v>
      </c>
      <c r="J2546" s="1">
        <v>0.32269999999999999</v>
      </c>
    </row>
    <row r="2547" spans="1:10" x14ac:dyDescent="0.2">
      <c r="A2547" t="str">
        <f>"10/05/2016"</f>
        <v>10/05/2016</v>
      </c>
      <c r="B2547">
        <v>1</v>
      </c>
      <c r="C2547">
        <v>56000</v>
      </c>
      <c r="D2547">
        <v>147311</v>
      </c>
      <c r="E2547">
        <v>56000</v>
      </c>
      <c r="F2547">
        <v>56000</v>
      </c>
      <c r="G2547" s="1">
        <v>1E-3</v>
      </c>
      <c r="H2547" s="1">
        <v>1E-3</v>
      </c>
      <c r="I2547" s="1">
        <v>1E-3</v>
      </c>
      <c r="J2547" s="1">
        <v>0.3095</v>
      </c>
    </row>
    <row r="2548" spans="1:10" x14ac:dyDescent="0.2">
      <c r="A2548" t="str">
        <f>"09/05/2016"</f>
        <v>09/05/2016</v>
      </c>
      <c r="B2548">
        <v>1</v>
      </c>
      <c r="C2548">
        <v>56000</v>
      </c>
      <c r="D2548">
        <v>141003</v>
      </c>
      <c r="E2548">
        <v>56000</v>
      </c>
      <c r="F2548">
        <v>56000</v>
      </c>
      <c r="G2548" s="1">
        <v>1E-3</v>
      </c>
      <c r="H2548" s="1">
        <v>1E-3</v>
      </c>
      <c r="I2548" s="1">
        <v>1E-3</v>
      </c>
      <c r="J2548" s="1">
        <v>0.3105</v>
      </c>
    </row>
    <row r="2549" spans="1:10" x14ac:dyDescent="0.2">
      <c r="A2549" t="str">
        <f>"08/05/2016"</f>
        <v>08/05/2016</v>
      </c>
      <c r="B2549">
        <v>1</v>
      </c>
      <c r="C2549">
        <v>56000</v>
      </c>
      <c r="D2549">
        <v>129423</v>
      </c>
      <c r="E2549">
        <v>56000</v>
      </c>
      <c r="F2549">
        <v>56000</v>
      </c>
      <c r="G2549" s="1">
        <v>1E-3</v>
      </c>
      <c r="H2549" s="1">
        <v>1E-3</v>
      </c>
      <c r="I2549" s="1">
        <v>1E-3</v>
      </c>
      <c r="J2549" s="1">
        <v>0.35299999999999998</v>
      </c>
    </row>
    <row r="2550" spans="1:10" x14ac:dyDescent="0.2">
      <c r="A2550" t="str">
        <f>"05/05/2016"</f>
        <v>05/05/2016</v>
      </c>
      <c r="B2550">
        <v>3</v>
      </c>
      <c r="C2550">
        <v>55000</v>
      </c>
      <c r="D2550">
        <v>113415</v>
      </c>
      <c r="E2550">
        <v>55000</v>
      </c>
      <c r="F2550">
        <v>55000</v>
      </c>
      <c r="G2550" s="1">
        <v>1E-3</v>
      </c>
      <c r="H2550" s="1">
        <v>1E-3</v>
      </c>
      <c r="I2550" s="1">
        <v>1E-3</v>
      </c>
      <c r="J2550" s="1">
        <v>0.41389999999999999</v>
      </c>
    </row>
    <row r="2551" spans="1:10" x14ac:dyDescent="0.2">
      <c r="A2551" t="str">
        <f>"04/05/2016"</f>
        <v>04/05/2016</v>
      </c>
      <c r="B2551">
        <v>1</v>
      </c>
      <c r="C2551">
        <v>54000</v>
      </c>
      <c r="D2551">
        <v>103481</v>
      </c>
      <c r="E2551">
        <v>54000</v>
      </c>
      <c r="F2551">
        <v>54000</v>
      </c>
      <c r="G2551" s="1">
        <v>1E-3</v>
      </c>
      <c r="H2551" s="1">
        <v>1E-3</v>
      </c>
      <c r="I2551" s="1">
        <v>1E-3</v>
      </c>
      <c r="J2551" s="1">
        <v>0.44800000000000001</v>
      </c>
    </row>
    <row r="2552" spans="1:10" x14ac:dyDescent="0.2">
      <c r="A2552" t="str">
        <f>"03/05/2016"</f>
        <v>03/05/2016</v>
      </c>
      <c r="B2552">
        <v>1</v>
      </c>
      <c r="C2552">
        <v>53000</v>
      </c>
      <c r="D2552">
        <v>86986</v>
      </c>
      <c r="E2552">
        <v>53000</v>
      </c>
      <c r="F2552">
        <v>53000</v>
      </c>
      <c r="G2552" s="1">
        <v>1E-3</v>
      </c>
      <c r="H2552" s="1">
        <v>1E-3</v>
      </c>
      <c r="I2552" s="1">
        <v>1E-3</v>
      </c>
      <c r="J2552" s="1">
        <v>0.52129999999999999</v>
      </c>
    </row>
    <row r="2553" spans="1:10" x14ac:dyDescent="0.2">
      <c r="A2553" t="str">
        <f>"02/05/2016"</f>
        <v>02/05/2016</v>
      </c>
      <c r="B2553">
        <v>1</v>
      </c>
      <c r="C2553">
        <v>52000</v>
      </c>
      <c r="D2553">
        <v>81100</v>
      </c>
      <c r="E2553">
        <v>52000</v>
      </c>
      <c r="F2553">
        <v>52000</v>
      </c>
      <c r="G2553" s="1">
        <v>1E-3</v>
      </c>
      <c r="H2553" s="1">
        <v>1E-3</v>
      </c>
      <c r="I2553" s="1">
        <v>1E-3</v>
      </c>
      <c r="J2553" s="1">
        <v>0.55610000000000004</v>
      </c>
    </row>
    <row r="2554" spans="1:10" x14ac:dyDescent="0.2">
      <c r="A2554" t="str">
        <f>"01/05/2016"</f>
        <v>01/05/2016</v>
      </c>
      <c r="B2554">
        <v>1</v>
      </c>
      <c r="C2554">
        <v>53000</v>
      </c>
      <c r="D2554">
        <v>75360</v>
      </c>
      <c r="E2554">
        <v>53000</v>
      </c>
      <c r="F2554">
        <v>53000</v>
      </c>
      <c r="G2554" s="1">
        <v>1E-3</v>
      </c>
      <c r="H2554" s="1">
        <v>1E-3</v>
      </c>
      <c r="I2554" s="1">
        <v>1E-3</v>
      </c>
      <c r="J2554" s="1">
        <v>0.63719999999999999</v>
      </c>
    </row>
    <row r="2555" spans="1:10" x14ac:dyDescent="0.2">
      <c r="A2555" t="str">
        <f>"28/04/2016"</f>
        <v>28/04/2016</v>
      </c>
      <c r="B2555">
        <v>3</v>
      </c>
      <c r="C2555">
        <v>47000</v>
      </c>
      <c r="D2555">
        <v>60585</v>
      </c>
      <c r="E2555">
        <v>47000</v>
      </c>
      <c r="F2555">
        <v>47000</v>
      </c>
      <c r="G2555" s="1">
        <v>1E-3</v>
      </c>
      <c r="H2555" s="1">
        <v>1E-3</v>
      </c>
      <c r="I2555" s="1">
        <v>1E-3</v>
      </c>
      <c r="J2555" s="1">
        <v>0.71889999999999998</v>
      </c>
    </row>
    <row r="2556" spans="1:10" x14ac:dyDescent="0.2">
      <c r="A2556" t="str">
        <f>"27/04/2016"</f>
        <v>27/04/2016</v>
      </c>
      <c r="B2556">
        <v>1</v>
      </c>
      <c r="C2556">
        <v>39000</v>
      </c>
      <c r="D2556">
        <v>33201</v>
      </c>
      <c r="E2556">
        <v>33201</v>
      </c>
      <c r="F2556">
        <v>33201</v>
      </c>
      <c r="G2556" s="1">
        <v>1E-3</v>
      </c>
      <c r="H2556" s="1">
        <v>8.9999999999999998E-4</v>
      </c>
      <c r="I2556" s="1">
        <v>8.9999999999999998E-4</v>
      </c>
      <c r="J2556" s="1">
        <v>1</v>
      </c>
    </row>
    <row r="2557" spans="1:10" x14ac:dyDescent="0.2">
      <c r="A2557" t="str">
        <f>"26/04/2016"</f>
        <v>26/04/2016</v>
      </c>
      <c r="B2557">
        <v>1</v>
      </c>
      <c r="C2557">
        <v>46000</v>
      </c>
      <c r="D2557">
        <v>53592</v>
      </c>
      <c r="E2557">
        <v>46000</v>
      </c>
      <c r="F2557">
        <v>46000</v>
      </c>
      <c r="G2557" s="1">
        <v>1E-3</v>
      </c>
      <c r="H2557" s="1">
        <v>1E-3</v>
      </c>
      <c r="I2557" s="1">
        <v>1E-3</v>
      </c>
      <c r="J2557" s="1">
        <v>0.78849999999999998</v>
      </c>
    </row>
    <row r="2558" spans="1:10" x14ac:dyDescent="0.2">
      <c r="A2558" t="str">
        <f>"25/04/2016"</f>
        <v>25/04/2016</v>
      </c>
      <c r="B2558">
        <v>1</v>
      </c>
      <c r="C2558">
        <v>46000</v>
      </c>
      <c r="D2558">
        <v>70184</v>
      </c>
      <c r="E2558">
        <v>46000</v>
      </c>
      <c r="F2558">
        <v>46000</v>
      </c>
      <c r="G2558" s="1">
        <v>1E-3</v>
      </c>
      <c r="H2558" s="1">
        <v>1E-3</v>
      </c>
      <c r="I2558" s="1">
        <v>1E-3</v>
      </c>
      <c r="J2558" s="1">
        <v>0.53029999999999999</v>
      </c>
    </row>
    <row r="2559" spans="1:10" x14ac:dyDescent="0.2">
      <c r="A2559" t="str">
        <f>"24/04/2016"</f>
        <v>24/04/2016</v>
      </c>
      <c r="B2559">
        <v>1</v>
      </c>
      <c r="C2559">
        <v>47000</v>
      </c>
      <c r="D2559">
        <v>98973</v>
      </c>
      <c r="E2559">
        <v>47000</v>
      </c>
      <c r="F2559">
        <v>47000</v>
      </c>
      <c r="G2559" s="1">
        <v>1E-3</v>
      </c>
      <c r="H2559" s="1">
        <v>1E-3</v>
      </c>
      <c r="I2559" s="1">
        <v>1E-3</v>
      </c>
      <c r="J2559" s="1">
        <v>0.40400000000000003</v>
      </c>
    </row>
    <row r="2560" spans="1:10" x14ac:dyDescent="0.2">
      <c r="A2560" t="str">
        <f>"21/04/2016"</f>
        <v>21/04/2016</v>
      </c>
      <c r="B2560">
        <v>3</v>
      </c>
      <c r="C2560">
        <v>47000</v>
      </c>
      <c r="D2560">
        <v>108584</v>
      </c>
      <c r="E2560">
        <v>47000</v>
      </c>
      <c r="F2560">
        <v>47000</v>
      </c>
      <c r="G2560" s="1">
        <v>1E-3</v>
      </c>
      <c r="H2560" s="1">
        <v>1E-3</v>
      </c>
      <c r="I2560" s="1">
        <v>1E-3</v>
      </c>
      <c r="J2560" s="1">
        <v>0.3629</v>
      </c>
    </row>
    <row r="2561" spans="1:10" x14ac:dyDescent="0.2">
      <c r="A2561" t="str">
        <f>"20/04/2016"</f>
        <v>20/04/2016</v>
      </c>
      <c r="B2561">
        <v>1</v>
      </c>
      <c r="C2561">
        <v>49000</v>
      </c>
      <c r="D2561">
        <v>115752</v>
      </c>
      <c r="E2561">
        <v>49000</v>
      </c>
      <c r="F2561">
        <v>49000</v>
      </c>
      <c r="G2561" s="1">
        <v>1E-3</v>
      </c>
      <c r="H2561" s="1">
        <v>1E-3</v>
      </c>
      <c r="I2561" s="1">
        <v>1E-3</v>
      </c>
      <c r="J2561" s="1">
        <v>0.35370000000000001</v>
      </c>
    </row>
    <row r="2562" spans="1:10" x14ac:dyDescent="0.2">
      <c r="A2562" t="str">
        <f>"19/04/2016"</f>
        <v>19/04/2016</v>
      </c>
      <c r="B2562">
        <v>1</v>
      </c>
      <c r="C2562">
        <v>46000</v>
      </c>
      <c r="D2562">
        <v>106779</v>
      </c>
      <c r="E2562">
        <v>46000</v>
      </c>
      <c r="F2562">
        <v>46000</v>
      </c>
      <c r="G2562" s="1">
        <v>1E-3</v>
      </c>
      <c r="H2562" s="1">
        <v>1E-3</v>
      </c>
      <c r="I2562" s="1">
        <v>1E-3</v>
      </c>
      <c r="J2562" s="1">
        <v>0.36370000000000002</v>
      </c>
    </row>
    <row r="2563" spans="1:10" x14ac:dyDescent="0.2">
      <c r="A2563" t="str">
        <f>"18/04/2016"</f>
        <v>18/04/2016</v>
      </c>
      <c r="B2563">
        <v>1</v>
      </c>
      <c r="C2563">
        <v>48000</v>
      </c>
      <c r="D2563">
        <v>114013</v>
      </c>
      <c r="E2563">
        <v>48000</v>
      </c>
      <c r="F2563">
        <v>48000</v>
      </c>
      <c r="G2563" s="1">
        <v>1E-3</v>
      </c>
      <c r="H2563" s="1">
        <v>1E-3</v>
      </c>
      <c r="I2563" s="1">
        <v>1E-3</v>
      </c>
      <c r="J2563" s="1">
        <v>0.33150000000000002</v>
      </c>
    </row>
    <row r="2564" spans="1:10" x14ac:dyDescent="0.2">
      <c r="A2564" t="str">
        <f>"17/04/2016"</f>
        <v>17/04/2016</v>
      </c>
      <c r="B2564">
        <v>1</v>
      </c>
      <c r="C2564">
        <v>49000</v>
      </c>
      <c r="D2564">
        <v>122115</v>
      </c>
      <c r="E2564">
        <v>49000</v>
      </c>
      <c r="F2564">
        <v>49000</v>
      </c>
      <c r="G2564" s="1">
        <v>1E-3</v>
      </c>
      <c r="H2564" s="1">
        <v>1E-3</v>
      </c>
      <c r="I2564" s="1">
        <v>1E-3</v>
      </c>
      <c r="J2564" s="1">
        <v>0.31840000000000002</v>
      </c>
    </row>
    <row r="2565" spans="1:10" x14ac:dyDescent="0.2">
      <c r="A2565" t="str">
        <f>"14/04/2016"</f>
        <v>14/04/2016</v>
      </c>
      <c r="B2565">
        <v>3</v>
      </c>
      <c r="C2565">
        <v>58000</v>
      </c>
      <c r="D2565">
        <v>151927</v>
      </c>
      <c r="E2565">
        <v>58000</v>
      </c>
      <c r="F2565">
        <v>58000</v>
      </c>
      <c r="G2565" s="1">
        <v>1E-3</v>
      </c>
      <c r="H2565" s="1">
        <v>1E-3</v>
      </c>
      <c r="I2565" s="1">
        <v>1E-3</v>
      </c>
      <c r="J2565" s="1">
        <v>0.30980000000000002</v>
      </c>
    </row>
    <row r="2566" spans="1:10" x14ac:dyDescent="0.2">
      <c r="A2566" t="str">
        <f>"13/04/2016"</f>
        <v>13/04/2016</v>
      </c>
      <c r="B2566">
        <v>1</v>
      </c>
      <c r="C2566">
        <v>57000</v>
      </c>
      <c r="D2566">
        <v>141890</v>
      </c>
      <c r="E2566">
        <v>57000</v>
      </c>
      <c r="F2566">
        <v>57000</v>
      </c>
      <c r="G2566" s="1">
        <v>1E-3</v>
      </c>
      <c r="H2566" s="1">
        <v>1E-3</v>
      </c>
      <c r="I2566" s="1">
        <v>1E-3</v>
      </c>
      <c r="J2566" s="1">
        <v>0.315</v>
      </c>
    </row>
    <row r="2567" spans="1:10" x14ac:dyDescent="0.2">
      <c r="A2567" t="str">
        <f>"12/04/2016"</f>
        <v>12/04/2016</v>
      </c>
      <c r="B2567">
        <v>1</v>
      </c>
      <c r="C2567">
        <v>57000</v>
      </c>
      <c r="D2567">
        <v>149332</v>
      </c>
      <c r="E2567">
        <v>57000</v>
      </c>
      <c r="F2567">
        <v>57000</v>
      </c>
      <c r="G2567" s="1">
        <v>1E-3</v>
      </c>
      <c r="H2567" s="1">
        <v>1E-3</v>
      </c>
      <c r="I2567" s="1">
        <v>1E-3</v>
      </c>
      <c r="J2567" s="1">
        <v>0.3</v>
      </c>
    </row>
    <row r="2568" spans="1:10" x14ac:dyDescent="0.2">
      <c r="A2568" t="str">
        <f>"11/04/2016"</f>
        <v>11/04/2016</v>
      </c>
      <c r="B2568">
        <v>1</v>
      </c>
      <c r="C2568">
        <v>58000</v>
      </c>
      <c r="D2568">
        <v>147831</v>
      </c>
      <c r="E2568">
        <v>58000</v>
      </c>
      <c r="F2568">
        <v>58000</v>
      </c>
      <c r="G2568" s="1">
        <v>1E-3</v>
      </c>
      <c r="H2568" s="1">
        <v>1E-3</v>
      </c>
      <c r="I2568" s="1">
        <v>1E-3</v>
      </c>
      <c r="J2568" s="1">
        <v>0.30719999999999997</v>
      </c>
    </row>
    <row r="2569" spans="1:10" x14ac:dyDescent="0.2">
      <c r="A2569" t="str">
        <f>"10/04/2016"</f>
        <v>10/04/2016</v>
      </c>
      <c r="B2569">
        <v>1</v>
      </c>
      <c r="C2569">
        <v>58000</v>
      </c>
      <c r="D2569">
        <v>147408</v>
      </c>
      <c r="E2569">
        <v>58000</v>
      </c>
      <c r="F2569">
        <v>58000</v>
      </c>
      <c r="G2569" s="1">
        <v>1E-3</v>
      </c>
      <c r="H2569" s="1">
        <v>1E-3</v>
      </c>
      <c r="I2569" s="1">
        <v>1E-3</v>
      </c>
      <c r="J2569" s="1">
        <v>0.31559999999999999</v>
      </c>
    </row>
    <row r="2570" spans="1:10" x14ac:dyDescent="0.2">
      <c r="A2570" t="str">
        <f>"07/04/2016"</f>
        <v>07/04/2016</v>
      </c>
      <c r="B2570">
        <v>3</v>
      </c>
      <c r="C2570">
        <v>58000</v>
      </c>
      <c r="D2570">
        <v>141724</v>
      </c>
      <c r="E2570">
        <v>58000</v>
      </c>
      <c r="F2570">
        <v>58000</v>
      </c>
      <c r="G2570" s="1">
        <v>1E-3</v>
      </c>
      <c r="H2570" s="1">
        <v>1E-3</v>
      </c>
      <c r="I2570" s="1">
        <v>1E-3</v>
      </c>
      <c r="J2570" s="1">
        <v>0.33400000000000002</v>
      </c>
    </row>
    <row r="2571" spans="1:10" x14ac:dyDescent="0.2">
      <c r="A2571" t="str">
        <f>"06/04/2016"</f>
        <v>06/04/2016</v>
      </c>
      <c r="B2571">
        <v>1</v>
      </c>
      <c r="C2571">
        <v>58000</v>
      </c>
      <c r="D2571">
        <v>124227</v>
      </c>
      <c r="E2571">
        <v>58000</v>
      </c>
      <c r="F2571">
        <v>58000</v>
      </c>
      <c r="G2571" s="1">
        <v>1E-3</v>
      </c>
      <c r="H2571" s="1">
        <v>1E-3</v>
      </c>
      <c r="I2571" s="1">
        <v>1E-3</v>
      </c>
      <c r="J2571" s="1">
        <v>0.37059999999999998</v>
      </c>
    </row>
    <row r="2572" spans="1:10" x14ac:dyDescent="0.2">
      <c r="A2572" t="str">
        <f>"05/04/2016"</f>
        <v>05/04/2016</v>
      </c>
      <c r="B2572">
        <v>1</v>
      </c>
      <c r="C2572">
        <v>57000</v>
      </c>
      <c r="D2572">
        <v>111607</v>
      </c>
      <c r="E2572">
        <v>57000</v>
      </c>
      <c r="F2572">
        <v>57000</v>
      </c>
      <c r="G2572" s="1">
        <v>1E-3</v>
      </c>
      <c r="H2572" s="1">
        <v>1E-3</v>
      </c>
      <c r="I2572" s="1">
        <v>1E-3</v>
      </c>
      <c r="J2572" s="1">
        <v>0.41360000000000002</v>
      </c>
    </row>
    <row r="2573" spans="1:10" x14ac:dyDescent="0.2">
      <c r="A2573" t="str">
        <f>"04/04/2016"</f>
        <v>04/04/2016</v>
      </c>
      <c r="B2573">
        <v>1</v>
      </c>
      <c r="C2573">
        <v>54000</v>
      </c>
      <c r="D2573">
        <v>93238</v>
      </c>
      <c r="E2573">
        <v>54000</v>
      </c>
      <c r="F2573">
        <v>54000</v>
      </c>
      <c r="G2573" s="1">
        <v>1E-3</v>
      </c>
      <c r="H2573" s="1">
        <v>1E-3</v>
      </c>
      <c r="I2573" s="1">
        <v>1E-3</v>
      </c>
      <c r="J2573" s="1">
        <v>0.49980000000000002</v>
      </c>
    </row>
    <row r="2574" spans="1:10" x14ac:dyDescent="0.2">
      <c r="A2574" t="str">
        <f>"03/04/2016"</f>
        <v>03/04/2016</v>
      </c>
      <c r="B2574">
        <v>1</v>
      </c>
      <c r="C2574">
        <v>53000</v>
      </c>
      <c r="D2574">
        <v>76187</v>
      </c>
      <c r="E2574">
        <v>53000</v>
      </c>
      <c r="F2574">
        <v>53000</v>
      </c>
      <c r="G2574" s="1">
        <v>1E-3</v>
      </c>
      <c r="H2574" s="1">
        <v>1E-3</v>
      </c>
      <c r="I2574" s="1">
        <v>1E-3</v>
      </c>
      <c r="J2574" s="1">
        <v>0.6149</v>
      </c>
    </row>
    <row r="2575" spans="1:10" x14ac:dyDescent="0.2">
      <c r="A2575" t="str">
        <f>"31/03/2016"</f>
        <v>31/03/2016</v>
      </c>
      <c r="B2575">
        <v>3</v>
      </c>
      <c r="C2575">
        <v>50000</v>
      </c>
      <c r="D2575">
        <v>63488</v>
      </c>
      <c r="E2575">
        <v>50000</v>
      </c>
      <c r="F2575">
        <v>50000</v>
      </c>
      <c r="G2575" s="1">
        <v>1E-3</v>
      </c>
      <c r="H2575" s="1">
        <v>1E-3</v>
      </c>
      <c r="I2575" s="1">
        <v>1E-3</v>
      </c>
      <c r="J2575" s="1">
        <v>0.73909999999999998</v>
      </c>
    </row>
    <row r="2576" spans="1:10" x14ac:dyDescent="0.2">
      <c r="A2576" t="str">
        <f>"30/03/2016"</f>
        <v>30/03/2016</v>
      </c>
      <c r="B2576">
        <v>1</v>
      </c>
      <c r="C2576">
        <v>44000</v>
      </c>
      <c r="D2576">
        <v>38151</v>
      </c>
      <c r="E2576">
        <v>38151</v>
      </c>
      <c r="F2576">
        <v>38151</v>
      </c>
      <c r="G2576" s="1">
        <v>1E-3</v>
      </c>
      <c r="H2576" s="1">
        <v>8.9999999999999998E-4</v>
      </c>
      <c r="I2576" s="1">
        <v>8.9999999999999998E-4</v>
      </c>
      <c r="J2576" s="1">
        <v>1</v>
      </c>
    </row>
    <row r="2577" spans="1:10" x14ac:dyDescent="0.2">
      <c r="A2577" t="str">
        <f>"29/03/2016"</f>
        <v>29/03/2016</v>
      </c>
      <c r="B2577">
        <v>1</v>
      </c>
      <c r="C2577">
        <v>46000</v>
      </c>
      <c r="D2577">
        <v>71523</v>
      </c>
      <c r="E2577">
        <v>46000</v>
      </c>
      <c r="F2577">
        <v>46000</v>
      </c>
      <c r="G2577" s="1">
        <v>1E-3</v>
      </c>
      <c r="H2577" s="1">
        <v>1E-3</v>
      </c>
      <c r="I2577" s="1">
        <v>1E-3</v>
      </c>
      <c r="J2577" s="1">
        <v>0.5111</v>
      </c>
    </row>
    <row r="2578" spans="1:10" x14ac:dyDescent="0.2">
      <c r="A2578" t="str">
        <f>"28/03/2016"</f>
        <v>28/03/2016</v>
      </c>
      <c r="B2578">
        <v>1</v>
      </c>
      <c r="C2578">
        <v>46000</v>
      </c>
      <c r="D2578">
        <v>79919</v>
      </c>
      <c r="E2578">
        <v>46000</v>
      </c>
      <c r="F2578">
        <v>46000</v>
      </c>
      <c r="G2578" s="1">
        <v>1E-3</v>
      </c>
      <c r="H2578" s="1">
        <v>1E-3</v>
      </c>
      <c r="I2578" s="1">
        <v>1E-3</v>
      </c>
      <c r="J2578" s="1">
        <v>0.45250000000000001</v>
      </c>
    </row>
    <row r="2579" spans="1:10" x14ac:dyDescent="0.2">
      <c r="A2579" t="str">
        <f>"27/03/2016"</f>
        <v>27/03/2016</v>
      </c>
      <c r="B2579">
        <v>1</v>
      </c>
      <c r="C2579">
        <v>42000</v>
      </c>
      <c r="D2579">
        <v>85761</v>
      </c>
      <c r="E2579">
        <v>42000</v>
      </c>
      <c r="F2579">
        <v>42000</v>
      </c>
      <c r="G2579" s="1">
        <v>1E-3</v>
      </c>
      <c r="H2579" s="1">
        <v>1E-3</v>
      </c>
      <c r="I2579" s="1">
        <v>1E-3</v>
      </c>
      <c r="J2579" s="1">
        <v>0.33379999999999999</v>
      </c>
    </row>
    <row r="2580" spans="1:10" x14ac:dyDescent="0.2">
      <c r="A2580" t="str">
        <f>"23/03/2016"</f>
        <v>23/03/2016</v>
      </c>
      <c r="B2580">
        <v>4</v>
      </c>
      <c r="C2580">
        <v>42000</v>
      </c>
      <c r="D2580">
        <v>93603</v>
      </c>
      <c r="E2580">
        <v>42000</v>
      </c>
      <c r="F2580">
        <v>42000</v>
      </c>
      <c r="G2580" s="1">
        <v>1E-3</v>
      </c>
      <c r="H2580" s="1">
        <v>1E-3</v>
      </c>
      <c r="I2580" s="1">
        <v>1E-3</v>
      </c>
      <c r="J2580" s="1">
        <v>0.32279999999999998</v>
      </c>
    </row>
    <row r="2581" spans="1:10" x14ac:dyDescent="0.2">
      <c r="A2581" t="str">
        <f>"22/03/2016"</f>
        <v>22/03/2016</v>
      </c>
      <c r="B2581">
        <v>1</v>
      </c>
      <c r="C2581">
        <v>42000</v>
      </c>
      <c r="D2581">
        <v>96977</v>
      </c>
      <c r="E2581">
        <v>42000</v>
      </c>
      <c r="F2581">
        <v>42000</v>
      </c>
      <c r="G2581" s="1">
        <v>1E-3</v>
      </c>
      <c r="H2581" s="1">
        <v>1E-3</v>
      </c>
      <c r="I2581" s="1">
        <v>1E-3</v>
      </c>
      <c r="J2581" s="1">
        <v>0.33389999999999997</v>
      </c>
    </row>
    <row r="2582" spans="1:10" x14ac:dyDescent="0.2">
      <c r="A2582" t="str">
        <f>"21/03/2016"</f>
        <v>21/03/2016</v>
      </c>
      <c r="B2582">
        <v>1</v>
      </c>
      <c r="C2582">
        <v>44000</v>
      </c>
      <c r="D2582">
        <v>93716</v>
      </c>
      <c r="E2582">
        <v>44000</v>
      </c>
      <c r="F2582">
        <v>44000</v>
      </c>
      <c r="G2582" s="1">
        <v>1E-3</v>
      </c>
      <c r="H2582" s="1">
        <v>1E-3</v>
      </c>
      <c r="I2582" s="1">
        <v>1E-3</v>
      </c>
      <c r="J2582" s="1">
        <v>0.37580000000000002</v>
      </c>
    </row>
    <row r="2583" spans="1:10" x14ac:dyDescent="0.2">
      <c r="A2583" t="str">
        <f>"20/03/2016"</f>
        <v>20/03/2016</v>
      </c>
      <c r="B2583">
        <v>1</v>
      </c>
      <c r="C2583">
        <v>45000</v>
      </c>
      <c r="D2583">
        <v>90801</v>
      </c>
      <c r="E2583">
        <v>45000</v>
      </c>
      <c r="F2583">
        <v>45000</v>
      </c>
      <c r="G2583" s="1">
        <v>1E-3</v>
      </c>
      <c r="H2583" s="1">
        <v>1E-3</v>
      </c>
      <c r="I2583" s="1">
        <v>1E-3</v>
      </c>
      <c r="J2583" s="1">
        <v>0.40479999999999999</v>
      </c>
    </row>
    <row r="2584" spans="1:10" x14ac:dyDescent="0.2">
      <c r="A2584" t="str">
        <f>"17/03/2016"</f>
        <v>17/03/2016</v>
      </c>
      <c r="B2584">
        <v>3</v>
      </c>
      <c r="C2584">
        <v>47000</v>
      </c>
      <c r="D2584">
        <v>98796</v>
      </c>
      <c r="E2584">
        <v>47000</v>
      </c>
      <c r="F2584">
        <v>47000</v>
      </c>
      <c r="G2584" s="1">
        <v>1E-3</v>
      </c>
      <c r="H2584" s="1">
        <v>1E-3</v>
      </c>
      <c r="I2584" s="1">
        <v>1E-3</v>
      </c>
      <c r="J2584" s="1">
        <v>0.3856</v>
      </c>
    </row>
    <row r="2585" spans="1:10" x14ac:dyDescent="0.2">
      <c r="A2585" t="str">
        <f>"16/03/2016"</f>
        <v>16/03/2016</v>
      </c>
      <c r="B2585">
        <v>1</v>
      </c>
      <c r="C2585">
        <v>48000</v>
      </c>
      <c r="D2585">
        <v>106479</v>
      </c>
      <c r="E2585">
        <v>48000</v>
      </c>
      <c r="F2585">
        <v>48000</v>
      </c>
      <c r="G2585" s="1">
        <v>1E-3</v>
      </c>
      <c r="H2585" s="1">
        <v>1E-3</v>
      </c>
      <c r="I2585" s="1">
        <v>1E-3</v>
      </c>
      <c r="J2585" s="1">
        <v>0.379</v>
      </c>
    </row>
    <row r="2586" spans="1:10" x14ac:dyDescent="0.2">
      <c r="A2586" t="str">
        <f>"15/03/2016"</f>
        <v>15/03/2016</v>
      </c>
      <c r="B2586">
        <v>1</v>
      </c>
      <c r="C2586">
        <v>61000</v>
      </c>
      <c r="D2586">
        <v>139395</v>
      </c>
      <c r="E2586">
        <v>61000</v>
      </c>
      <c r="F2586">
        <v>61000</v>
      </c>
      <c r="G2586" s="1">
        <v>1E-3</v>
      </c>
      <c r="H2586" s="1">
        <v>1E-3</v>
      </c>
      <c r="I2586" s="1">
        <v>1E-3</v>
      </c>
      <c r="J2586" s="1">
        <v>0.36730000000000002</v>
      </c>
    </row>
    <row r="2587" spans="1:10" x14ac:dyDescent="0.2">
      <c r="A2587" t="str">
        <f>"14/03/2016"</f>
        <v>14/03/2016</v>
      </c>
      <c r="B2587">
        <v>1</v>
      </c>
      <c r="C2587">
        <v>63000</v>
      </c>
      <c r="D2587">
        <v>146231</v>
      </c>
      <c r="E2587">
        <v>63000</v>
      </c>
      <c r="F2587">
        <v>63000</v>
      </c>
      <c r="G2587" s="1">
        <v>1E-3</v>
      </c>
      <c r="H2587" s="1">
        <v>1E-3</v>
      </c>
      <c r="I2587" s="1">
        <v>1E-3</v>
      </c>
      <c r="J2587" s="1">
        <v>0.3659</v>
      </c>
    </row>
    <row r="2588" spans="1:10" x14ac:dyDescent="0.2">
      <c r="A2588" t="str">
        <f>"13/03/2016"</f>
        <v>13/03/2016</v>
      </c>
      <c r="B2588">
        <v>1</v>
      </c>
      <c r="C2588">
        <v>63000</v>
      </c>
      <c r="D2588">
        <v>155314</v>
      </c>
      <c r="E2588">
        <v>63000</v>
      </c>
      <c r="F2588">
        <v>63000</v>
      </c>
      <c r="G2588" s="1">
        <v>1E-3</v>
      </c>
      <c r="H2588" s="1">
        <v>1E-3</v>
      </c>
      <c r="I2588" s="1">
        <v>1E-3</v>
      </c>
      <c r="J2588" s="1">
        <v>0.33500000000000002</v>
      </c>
    </row>
    <row r="2589" spans="1:10" x14ac:dyDescent="0.2">
      <c r="A2589" t="str">
        <f>"10/03/2016"</f>
        <v>10/03/2016</v>
      </c>
      <c r="B2589">
        <v>3</v>
      </c>
      <c r="C2589">
        <v>64000</v>
      </c>
      <c r="D2589">
        <v>172431</v>
      </c>
      <c r="E2589">
        <v>64000</v>
      </c>
      <c r="F2589">
        <v>64000</v>
      </c>
      <c r="G2589" s="1">
        <v>1E-3</v>
      </c>
      <c r="H2589" s="1">
        <v>1E-3</v>
      </c>
      <c r="I2589" s="1">
        <v>1E-3</v>
      </c>
      <c r="J2589" s="1">
        <v>0.30220000000000002</v>
      </c>
    </row>
    <row r="2590" spans="1:10" x14ac:dyDescent="0.2">
      <c r="A2590" t="str">
        <f>"09/03/2016"</f>
        <v>09/03/2016</v>
      </c>
      <c r="B2590">
        <v>1</v>
      </c>
      <c r="C2590">
        <v>64000</v>
      </c>
      <c r="D2590">
        <v>164742</v>
      </c>
      <c r="E2590">
        <v>64000</v>
      </c>
      <c r="F2590">
        <v>64000</v>
      </c>
      <c r="G2590" s="1">
        <v>1E-3</v>
      </c>
      <c r="H2590" s="1">
        <v>1E-3</v>
      </c>
      <c r="I2590" s="1">
        <v>1E-3</v>
      </c>
      <c r="J2590" s="1">
        <v>0.30399999999999999</v>
      </c>
    </row>
    <row r="2591" spans="1:10" x14ac:dyDescent="0.2">
      <c r="A2591" t="str">
        <f>"08/03/2016"</f>
        <v>08/03/2016</v>
      </c>
      <c r="B2591">
        <v>1</v>
      </c>
      <c r="C2591">
        <v>63000</v>
      </c>
      <c r="D2591">
        <v>161497</v>
      </c>
      <c r="E2591">
        <v>63000</v>
      </c>
      <c r="F2591">
        <v>63000</v>
      </c>
      <c r="G2591" s="1">
        <v>1E-3</v>
      </c>
      <c r="H2591" s="1">
        <v>1E-3</v>
      </c>
      <c r="I2591" s="1">
        <v>1E-3</v>
      </c>
      <c r="J2591" s="1">
        <v>0.29799999999999999</v>
      </c>
    </row>
    <row r="2592" spans="1:10" x14ac:dyDescent="0.2">
      <c r="A2592" t="str">
        <f>"07/03/2016"</f>
        <v>07/03/2016</v>
      </c>
      <c r="B2592">
        <v>1</v>
      </c>
      <c r="C2592">
        <v>62000</v>
      </c>
      <c r="D2592">
        <v>155990</v>
      </c>
      <c r="E2592">
        <v>62000</v>
      </c>
      <c r="F2592">
        <v>62000</v>
      </c>
      <c r="G2592" s="1">
        <v>1E-3</v>
      </c>
      <c r="H2592" s="1">
        <v>1E-3</v>
      </c>
      <c r="I2592" s="1">
        <v>1E-3</v>
      </c>
      <c r="J2592" s="1">
        <v>0.30530000000000002</v>
      </c>
    </row>
    <row r="2593" spans="1:10" x14ac:dyDescent="0.2">
      <c r="A2593" t="str">
        <f>"06/03/2016"</f>
        <v>06/03/2016</v>
      </c>
      <c r="B2593">
        <v>1</v>
      </c>
      <c r="C2593">
        <v>62000</v>
      </c>
      <c r="D2593">
        <v>147250</v>
      </c>
      <c r="E2593">
        <v>62000</v>
      </c>
      <c r="F2593">
        <v>62000</v>
      </c>
      <c r="G2593" s="1">
        <v>1E-3</v>
      </c>
      <c r="H2593" s="1">
        <v>1E-3</v>
      </c>
      <c r="I2593" s="1">
        <v>1E-3</v>
      </c>
      <c r="J2593" s="1">
        <v>0.34139999999999998</v>
      </c>
    </row>
    <row r="2594" spans="1:10" x14ac:dyDescent="0.2">
      <c r="A2594" t="str">
        <f>"03/03/2016"</f>
        <v>03/03/2016</v>
      </c>
      <c r="B2594">
        <v>3</v>
      </c>
      <c r="C2594">
        <v>62000</v>
      </c>
      <c r="D2594">
        <v>139200</v>
      </c>
      <c r="E2594">
        <v>62000</v>
      </c>
      <c r="F2594">
        <v>62000</v>
      </c>
      <c r="G2594" s="1">
        <v>1E-3</v>
      </c>
      <c r="H2594" s="1">
        <v>1E-3</v>
      </c>
      <c r="I2594" s="1">
        <v>1E-3</v>
      </c>
      <c r="J2594" s="1">
        <v>0.36170000000000002</v>
      </c>
    </row>
    <row r="2595" spans="1:10" x14ac:dyDescent="0.2">
      <c r="A2595" t="str">
        <f>"02/03/2016"</f>
        <v>02/03/2016</v>
      </c>
      <c r="B2595">
        <v>1</v>
      </c>
      <c r="C2595">
        <v>61000</v>
      </c>
      <c r="D2595">
        <v>124968</v>
      </c>
      <c r="E2595">
        <v>61000</v>
      </c>
      <c r="F2595">
        <v>61000</v>
      </c>
      <c r="G2595" s="1">
        <v>1E-3</v>
      </c>
      <c r="H2595" s="1">
        <v>1E-3</v>
      </c>
      <c r="I2595" s="1">
        <v>1E-3</v>
      </c>
      <c r="J2595" s="1">
        <v>0.38700000000000001</v>
      </c>
    </row>
    <row r="2596" spans="1:10" x14ac:dyDescent="0.2">
      <c r="A2596" t="str">
        <f>"01/03/2016"</f>
        <v>01/03/2016</v>
      </c>
      <c r="B2596">
        <v>1</v>
      </c>
      <c r="C2596">
        <v>57000</v>
      </c>
      <c r="D2596">
        <v>95403</v>
      </c>
      <c r="E2596">
        <v>57000</v>
      </c>
      <c r="F2596">
        <v>57000</v>
      </c>
      <c r="G2596" s="1">
        <v>1E-3</v>
      </c>
      <c r="H2596" s="1">
        <v>1E-3</v>
      </c>
      <c r="I2596" s="1">
        <v>1E-3</v>
      </c>
      <c r="J2596" s="1">
        <v>0.47960000000000003</v>
      </c>
    </row>
    <row r="2597" spans="1:10" x14ac:dyDescent="0.2">
      <c r="A2597" t="str">
        <f>"29/02/2016"</f>
        <v>29/02/2016</v>
      </c>
      <c r="B2597">
        <v>1</v>
      </c>
      <c r="C2597">
        <v>52000</v>
      </c>
      <c r="D2597">
        <v>80077</v>
      </c>
      <c r="E2597">
        <v>52000</v>
      </c>
      <c r="F2597">
        <v>52000</v>
      </c>
      <c r="G2597" s="1">
        <v>1E-3</v>
      </c>
      <c r="H2597" s="1">
        <v>1E-3</v>
      </c>
      <c r="I2597" s="1">
        <v>1E-3</v>
      </c>
      <c r="J2597" s="1">
        <v>0.57410000000000005</v>
      </c>
    </row>
    <row r="2598" spans="1:10" x14ac:dyDescent="0.2">
      <c r="A2598" t="str">
        <f>"28/02/2016"</f>
        <v>28/02/2016</v>
      </c>
      <c r="B2598">
        <v>1</v>
      </c>
      <c r="C2598">
        <v>49000</v>
      </c>
      <c r="D2598">
        <v>69041</v>
      </c>
      <c r="E2598">
        <v>49000</v>
      </c>
      <c r="F2598">
        <v>49000</v>
      </c>
      <c r="G2598" s="1">
        <v>1E-3</v>
      </c>
      <c r="H2598" s="1">
        <v>1E-3</v>
      </c>
      <c r="I2598" s="1">
        <v>1E-3</v>
      </c>
      <c r="J2598" s="1">
        <v>0.63439999999999996</v>
      </c>
    </row>
    <row r="2599" spans="1:10" x14ac:dyDescent="0.2">
      <c r="A2599" t="str">
        <f>"25/02/2016"</f>
        <v>25/02/2016</v>
      </c>
      <c r="B2599">
        <v>3</v>
      </c>
      <c r="C2599">
        <v>46000</v>
      </c>
      <c r="D2599">
        <v>59908</v>
      </c>
      <c r="E2599">
        <v>46000</v>
      </c>
      <c r="F2599">
        <v>46000</v>
      </c>
      <c r="G2599" s="1">
        <v>1E-3</v>
      </c>
      <c r="H2599" s="1">
        <v>1E-3</v>
      </c>
      <c r="I2599" s="1">
        <v>1E-3</v>
      </c>
      <c r="J2599" s="1">
        <v>0.69420000000000004</v>
      </c>
    </row>
    <row r="2600" spans="1:10" x14ac:dyDescent="0.2">
      <c r="A2600" t="str">
        <f>"24/02/2016"</f>
        <v>24/02/2016</v>
      </c>
      <c r="B2600">
        <v>1</v>
      </c>
      <c r="C2600">
        <v>40000</v>
      </c>
      <c r="D2600">
        <v>34767</v>
      </c>
      <c r="E2600">
        <v>34767</v>
      </c>
      <c r="F2600">
        <v>34767</v>
      </c>
      <c r="G2600" s="1">
        <v>1E-3</v>
      </c>
      <c r="H2600" s="1">
        <v>8.9999999999999998E-4</v>
      </c>
      <c r="I2600" s="1">
        <v>8.9999999999999998E-4</v>
      </c>
      <c r="J2600" s="1">
        <v>1</v>
      </c>
    </row>
    <row r="2601" spans="1:10" x14ac:dyDescent="0.2">
      <c r="A2601" t="str">
        <f>"23/02/2016"</f>
        <v>23/02/2016</v>
      </c>
      <c r="B2601">
        <v>1</v>
      </c>
      <c r="C2601">
        <v>42000</v>
      </c>
      <c r="D2601">
        <v>45516</v>
      </c>
      <c r="E2601">
        <v>42000</v>
      </c>
      <c r="F2601">
        <v>42000</v>
      </c>
      <c r="G2601" s="1">
        <v>1E-3</v>
      </c>
      <c r="H2601" s="1">
        <v>8.9999999999999998E-4</v>
      </c>
      <c r="I2601" s="1">
        <v>8.9999999999999998E-4</v>
      </c>
      <c r="J2601" s="1">
        <v>0.82210000000000005</v>
      </c>
    </row>
    <row r="2602" spans="1:10" x14ac:dyDescent="0.2">
      <c r="A2602" t="str">
        <f>"22/02/2016"</f>
        <v>22/02/2016</v>
      </c>
      <c r="B2602">
        <v>1</v>
      </c>
      <c r="C2602">
        <v>44000</v>
      </c>
      <c r="D2602">
        <v>67541</v>
      </c>
      <c r="E2602">
        <v>44000</v>
      </c>
      <c r="F2602">
        <v>44000</v>
      </c>
      <c r="G2602" s="1">
        <v>1E-3</v>
      </c>
      <c r="H2602" s="1">
        <v>1E-3</v>
      </c>
      <c r="I2602" s="1">
        <v>1E-3</v>
      </c>
      <c r="J2602" s="1">
        <v>0.51890000000000003</v>
      </c>
    </row>
    <row r="2603" spans="1:10" x14ac:dyDescent="0.2">
      <c r="A2603" t="str">
        <f>"21/02/2016"</f>
        <v>21/02/2016</v>
      </c>
      <c r="B2603">
        <v>1</v>
      </c>
      <c r="C2603">
        <v>45000</v>
      </c>
      <c r="D2603">
        <v>86040</v>
      </c>
      <c r="E2603">
        <v>45000</v>
      </c>
      <c r="F2603">
        <v>45000</v>
      </c>
      <c r="G2603" s="1">
        <v>1E-3</v>
      </c>
      <c r="H2603" s="1">
        <v>1E-3</v>
      </c>
      <c r="I2603" s="1">
        <v>1E-3</v>
      </c>
      <c r="J2603" s="1">
        <v>0.4456</v>
      </c>
    </row>
    <row r="2604" spans="1:10" x14ac:dyDescent="0.2">
      <c r="A2604" t="str">
        <f>"18/02/2016"</f>
        <v>18/02/2016</v>
      </c>
      <c r="B2604">
        <v>3</v>
      </c>
      <c r="C2604">
        <v>48000</v>
      </c>
      <c r="D2604">
        <v>106809</v>
      </c>
      <c r="E2604">
        <v>48000</v>
      </c>
      <c r="F2604">
        <v>48000</v>
      </c>
      <c r="G2604" s="1">
        <v>1E-3</v>
      </c>
      <c r="H2604" s="1">
        <v>1E-3</v>
      </c>
      <c r="I2604" s="1">
        <v>1E-3</v>
      </c>
      <c r="J2604" s="1">
        <v>0.3392</v>
      </c>
    </row>
    <row r="2605" spans="1:10" x14ac:dyDescent="0.2">
      <c r="A2605" t="str">
        <f>"17/02/2016"</f>
        <v>17/02/2016</v>
      </c>
      <c r="B2605">
        <v>1</v>
      </c>
      <c r="C2605">
        <v>49000</v>
      </c>
      <c r="D2605">
        <v>118392</v>
      </c>
      <c r="E2605">
        <v>49000</v>
      </c>
      <c r="F2605">
        <v>49000</v>
      </c>
      <c r="G2605" s="1">
        <v>1E-3</v>
      </c>
      <c r="H2605" s="1">
        <v>1E-3</v>
      </c>
      <c r="I2605" s="1">
        <v>1E-3</v>
      </c>
      <c r="J2605" s="1">
        <v>0.27939999999999998</v>
      </c>
    </row>
    <row r="2606" spans="1:10" x14ac:dyDescent="0.2">
      <c r="A2606" t="str">
        <f>"16/02/2016"</f>
        <v>16/02/2016</v>
      </c>
      <c r="B2606">
        <v>1</v>
      </c>
      <c r="C2606">
        <v>51000</v>
      </c>
      <c r="D2606">
        <v>124719</v>
      </c>
      <c r="E2606">
        <v>51000</v>
      </c>
      <c r="F2606">
        <v>51000</v>
      </c>
      <c r="G2606" s="1">
        <v>1E-3</v>
      </c>
      <c r="H2606" s="1">
        <v>1E-3</v>
      </c>
      <c r="I2606" s="1">
        <v>1E-3</v>
      </c>
      <c r="J2606" s="1">
        <v>0.2979</v>
      </c>
    </row>
    <row r="2607" spans="1:10" x14ac:dyDescent="0.2">
      <c r="A2607" t="str">
        <f>"15/02/2016"</f>
        <v>15/02/2016</v>
      </c>
      <c r="B2607">
        <v>1</v>
      </c>
      <c r="C2607">
        <v>60000</v>
      </c>
      <c r="D2607">
        <v>143526</v>
      </c>
      <c r="E2607">
        <v>60000</v>
      </c>
      <c r="F2607">
        <v>60000</v>
      </c>
      <c r="G2607" s="1">
        <v>1E-3</v>
      </c>
      <c r="H2607" s="1">
        <v>1E-3</v>
      </c>
      <c r="I2607" s="1">
        <v>1E-3</v>
      </c>
      <c r="J2607" s="1">
        <v>0.30220000000000002</v>
      </c>
    </row>
    <row r="2608" spans="1:10" x14ac:dyDescent="0.2">
      <c r="A2608" t="str">
        <f>"14/02/2016"</f>
        <v>14/02/2016</v>
      </c>
      <c r="B2608">
        <v>1</v>
      </c>
      <c r="C2608">
        <v>61000</v>
      </c>
      <c r="D2608">
        <v>146580</v>
      </c>
      <c r="E2608">
        <v>61000</v>
      </c>
      <c r="F2608">
        <v>61000</v>
      </c>
      <c r="G2608" s="1">
        <v>1E-3</v>
      </c>
      <c r="H2608" s="1">
        <v>1E-3</v>
      </c>
      <c r="I2608" s="1">
        <v>1E-3</v>
      </c>
      <c r="J2608" s="1">
        <v>0.30880000000000002</v>
      </c>
    </row>
    <row r="2609" spans="1:10" x14ac:dyDescent="0.2">
      <c r="A2609" t="str">
        <f>"11/02/2016"</f>
        <v>11/02/2016</v>
      </c>
      <c r="B2609">
        <v>3</v>
      </c>
      <c r="C2609">
        <v>61000</v>
      </c>
      <c r="D2609">
        <v>143938</v>
      </c>
      <c r="E2609">
        <v>61000</v>
      </c>
      <c r="F2609">
        <v>61000</v>
      </c>
      <c r="G2609" s="1">
        <v>1E-3</v>
      </c>
      <c r="H2609" s="1">
        <v>1E-3</v>
      </c>
      <c r="I2609" s="1">
        <v>1E-3</v>
      </c>
      <c r="J2609" s="1">
        <v>0.32669999999999999</v>
      </c>
    </row>
    <row r="2610" spans="1:10" x14ac:dyDescent="0.2">
      <c r="A2610" t="str">
        <f>"10/02/2016"</f>
        <v>10/02/2016</v>
      </c>
      <c r="B2610">
        <v>1</v>
      </c>
      <c r="C2610">
        <v>62000</v>
      </c>
      <c r="D2610">
        <v>137793</v>
      </c>
      <c r="E2610">
        <v>62000</v>
      </c>
      <c r="F2610">
        <v>62000</v>
      </c>
      <c r="G2610" s="1">
        <v>1E-3</v>
      </c>
      <c r="H2610" s="1">
        <v>1E-3</v>
      </c>
      <c r="I2610" s="1">
        <v>1E-3</v>
      </c>
      <c r="J2610" s="1">
        <v>0.33700000000000002</v>
      </c>
    </row>
    <row r="2611" spans="1:10" x14ac:dyDescent="0.2">
      <c r="A2611" t="str">
        <f>"09/02/2016"</f>
        <v>09/02/2016</v>
      </c>
      <c r="B2611">
        <v>1</v>
      </c>
      <c r="C2611">
        <v>62000</v>
      </c>
      <c r="D2611">
        <v>145929</v>
      </c>
      <c r="E2611">
        <v>62000</v>
      </c>
      <c r="F2611">
        <v>62000</v>
      </c>
      <c r="G2611" s="1">
        <v>1E-3</v>
      </c>
      <c r="H2611" s="1">
        <v>1E-3</v>
      </c>
      <c r="I2611" s="1">
        <v>1E-3</v>
      </c>
      <c r="J2611" s="1">
        <v>0.32069999999999999</v>
      </c>
    </row>
    <row r="2612" spans="1:10" x14ac:dyDescent="0.2">
      <c r="A2612" t="str">
        <f>"08/02/2016"</f>
        <v>08/02/2016</v>
      </c>
      <c r="B2612">
        <v>1</v>
      </c>
      <c r="C2612">
        <v>62000</v>
      </c>
      <c r="D2612">
        <v>138371</v>
      </c>
      <c r="E2612">
        <v>62000</v>
      </c>
      <c r="F2612">
        <v>62000</v>
      </c>
      <c r="G2612" s="1">
        <v>1E-3</v>
      </c>
      <c r="H2612" s="1">
        <v>1E-3</v>
      </c>
      <c r="I2612" s="1">
        <v>1E-3</v>
      </c>
      <c r="J2612" s="1">
        <v>0.34749999999999998</v>
      </c>
    </row>
    <row r="2613" spans="1:10" x14ac:dyDescent="0.2">
      <c r="A2613" t="str">
        <f>"07/02/2016"</f>
        <v>07/02/2016</v>
      </c>
      <c r="B2613">
        <v>1</v>
      </c>
      <c r="C2613">
        <v>62000</v>
      </c>
      <c r="D2613">
        <v>131779</v>
      </c>
      <c r="E2613">
        <v>62000</v>
      </c>
      <c r="F2613">
        <v>62000</v>
      </c>
      <c r="G2613" s="1">
        <v>1E-3</v>
      </c>
      <c r="H2613" s="1">
        <v>1E-3</v>
      </c>
      <c r="I2613" s="1">
        <v>1E-3</v>
      </c>
      <c r="J2613" s="1">
        <v>0.37090000000000001</v>
      </c>
    </row>
    <row r="2614" spans="1:10" x14ac:dyDescent="0.2">
      <c r="A2614" t="str">
        <f>"04/02/2016"</f>
        <v>04/02/2016</v>
      </c>
      <c r="B2614">
        <v>3</v>
      </c>
      <c r="C2614">
        <v>63000</v>
      </c>
      <c r="D2614">
        <v>139973</v>
      </c>
      <c r="E2614">
        <v>63000</v>
      </c>
      <c r="F2614">
        <v>63000</v>
      </c>
      <c r="G2614" s="1">
        <v>1E-3</v>
      </c>
      <c r="H2614" s="1">
        <v>1E-3</v>
      </c>
      <c r="I2614" s="1">
        <v>1E-3</v>
      </c>
      <c r="J2614" s="1">
        <v>0.3518</v>
      </c>
    </row>
    <row r="2615" spans="1:10" x14ac:dyDescent="0.2">
      <c r="A2615" t="str">
        <f>"03/02/2016"</f>
        <v>03/02/2016</v>
      </c>
      <c r="B2615">
        <v>1</v>
      </c>
      <c r="C2615">
        <v>62000</v>
      </c>
      <c r="D2615">
        <v>145448</v>
      </c>
      <c r="E2615">
        <v>62000</v>
      </c>
      <c r="F2615">
        <v>62000</v>
      </c>
      <c r="G2615" s="1">
        <v>1E-3</v>
      </c>
      <c r="H2615" s="1">
        <v>1E-3</v>
      </c>
      <c r="I2615" s="1">
        <v>1E-3</v>
      </c>
      <c r="J2615" s="1">
        <v>0.31830000000000003</v>
      </c>
    </row>
    <row r="2616" spans="1:10" x14ac:dyDescent="0.2">
      <c r="A2616" t="str">
        <f>"02/02/2016"</f>
        <v>02/02/2016</v>
      </c>
      <c r="B2616">
        <v>1</v>
      </c>
      <c r="C2616">
        <v>59000</v>
      </c>
      <c r="D2616">
        <v>120379</v>
      </c>
      <c r="E2616">
        <v>59000</v>
      </c>
      <c r="F2616">
        <v>59000</v>
      </c>
      <c r="G2616" s="1">
        <v>1E-3</v>
      </c>
      <c r="H2616" s="1">
        <v>1E-3</v>
      </c>
      <c r="I2616" s="1">
        <v>1E-3</v>
      </c>
      <c r="J2616" s="1">
        <v>0.38500000000000001</v>
      </c>
    </row>
    <row r="2617" spans="1:10" x14ac:dyDescent="0.2">
      <c r="A2617" t="str">
        <f>"01/02/2016"</f>
        <v>01/02/2016</v>
      </c>
      <c r="B2617">
        <v>1</v>
      </c>
      <c r="C2617">
        <v>59000</v>
      </c>
      <c r="D2617">
        <v>99660</v>
      </c>
      <c r="E2617">
        <v>59000</v>
      </c>
      <c r="F2617">
        <v>59000</v>
      </c>
      <c r="G2617" s="1">
        <v>1E-3</v>
      </c>
      <c r="H2617" s="1">
        <v>1E-3</v>
      </c>
      <c r="I2617" s="1">
        <v>1E-3</v>
      </c>
      <c r="J2617" s="1">
        <v>0.4914</v>
      </c>
    </row>
    <row r="2618" spans="1:10" x14ac:dyDescent="0.2">
      <c r="A2618" t="str">
        <f>"31/01/2016"</f>
        <v>31/01/2016</v>
      </c>
      <c r="B2618">
        <v>1</v>
      </c>
      <c r="C2618">
        <v>53000</v>
      </c>
      <c r="D2618">
        <v>82405</v>
      </c>
      <c r="E2618">
        <v>53000</v>
      </c>
      <c r="F2618">
        <v>53000</v>
      </c>
      <c r="G2618" s="1">
        <v>1E-3</v>
      </c>
      <c r="H2618" s="1">
        <v>1E-3</v>
      </c>
      <c r="I2618" s="1">
        <v>1E-3</v>
      </c>
      <c r="J2618" s="1">
        <v>0.56599999999999995</v>
      </c>
    </row>
    <row r="2619" spans="1:10" x14ac:dyDescent="0.2">
      <c r="A2619" t="str">
        <f>"28/01/2016"</f>
        <v>28/01/2016</v>
      </c>
      <c r="B2619">
        <v>3</v>
      </c>
      <c r="C2619">
        <v>44000</v>
      </c>
      <c r="D2619">
        <v>57262</v>
      </c>
      <c r="E2619">
        <v>44000</v>
      </c>
      <c r="F2619">
        <v>44000</v>
      </c>
      <c r="G2619" s="1">
        <v>1E-3</v>
      </c>
      <c r="H2619" s="1">
        <v>1E-3</v>
      </c>
      <c r="I2619" s="1">
        <v>1E-3</v>
      </c>
      <c r="J2619" s="1">
        <v>0.6946</v>
      </c>
    </row>
    <row r="2620" spans="1:10" x14ac:dyDescent="0.2">
      <c r="A2620" t="str">
        <f>"27/01/2016"</f>
        <v>27/01/2016</v>
      </c>
      <c r="B2620">
        <v>1</v>
      </c>
      <c r="C2620">
        <v>35000</v>
      </c>
      <c r="D2620">
        <v>31757</v>
      </c>
      <c r="E2620">
        <v>31757</v>
      </c>
      <c r="F2620">
        <v>31757</v>
      </c>
      <c r="G2620" s="1">
        <v>1E-3</v>
      </c>
      <c r="H2620" s="1">
        <v>8.9999999999999998E-4</v>
      </c>
      <c r="I2620" s="1">
        <v>8.9999999999999998E-4</v>
      </c>
      <c r="J2620" s="1">
        <v>1</v>
      </c>
    </row>
    <row r="2621" spans="1:10" x14ac:dyDescent="0.2">
      <c r="A2621" t="str">
        <f>"26/01/2016"</f>
        <v>26/01/2016</v>
      </c>
      <c r="B2621">
        <v>1</v>
      </c>
      <c r="C2621">
        <v>36000</v>
      </c>
      <c r="D2621">
        <v>39819</v>
      </c>
      <c r="E2621">
        <v>36000</v>
      </c>
      <c r="F2621">
        <v>36000</v>
      </c>
      <c r="G2621" s="1">
        <v>1E-3</v>
      </c>
      <c r="H2621" s="1">
        <v>8.9999999999999998E-4</v>
      </c>
      <c r="I2621" s="1">
        <v>8.9999999999999998E-4</v>
      </c>
      <c r="J2621" s="1">
        <v>0.80289999999999995</v>
      </c>
    </row>
    <row r="2622" spans="1:10" x14ac:dyDescent="0.2">
      <c r="A2622" t="str">
        <f>"25/01/2016"</f>
        <v>25/01/2016</v>
      </c>
      <c r="B2622">
        <v>1</v>
      </c>
      <c r="C2622">
        <v>38000</v>
      </c>
      <c r="D2622">
        <v>57831</v>
      </c>
      <c r="E2622">
        <v>38000</v>
      </c>
      <c r="F2622">
        <v>38000</v>
      </c>
      <c r="G2622" s="1">
        <v>1E-3</v>
      </c>
      <c r="H2622" s="1">
        <v>1E-3</v>
      </c>
      <c r="I2622" s="1">
        <v>1E-3</v>
      </c>
      <c r="J2622" s="1">
        <v>0.50170000000000003</v>
      </c>
    </row>
    <row r="2623" spans="1:10" x14ac:dyDescent="0.2">
      <c r="A2623" t="str">
        <f>"24/01/2016"</f>
        <v>24/01/2016</v>
      </c>
      <c r="B2623">
        <v>1</v>
      </c>
      <c r="C2623">
        <v>38000</v>
      </c>
      <c r="D2623">
        <v>57435</v>
      </c>
      <c r="E2623">
        <v>38000</v>
      </c>
      <c r="F2623">
        <v>38000</v>
      </c>
      <c r="G2623" s="1">
        <v>1E-3</v>
      </c>
      <c r="H2623" s="1">
        <v>1E-3</v>
      </c>
      <c r="I2623" s="1">
        <v>1E-3</v>
      </c>
      <c r="J2623" s="1">
        <v>0.50919999999999999</v>
      </c>
    </row>
    <row r="2624" spans="1:10" x14ac:dyDescent="0.2">
      <c r="A2624" t="str">
        <f>"21/01/2016"</f>
        <v>21/01/2016</v>
      </c>
      <c r="B2624">
        <v>3</v>
      </c>
      <c r="C2624">
        <v>40000</v>
      </c>
      <c r="D2624">
        <v>73715</v>
      </c>
      <c r="E2624">
        <v>40000</v>
      </c>
      <c r="F2624">
        <v>40000</v>
      </c>
      <c r="G2624" s="1">
        <v>1E-3</v>
      </c>
      <c r="H2624" s="1">
        <v>1E-3</v>
      </c>
      <c r="I2624" s="1">
        <v>1E-3</v>
      </c>
      <c r="J2624" s="1">
        <v>0.39789999999999998</v>
      </c>
    </row>
    <row r="2625" spans="1:10" x14ac:dyDescent="0.2">
      <c r="A2625" t="str">
        <f>"20/01/2016"</f>
        <v>20/01/2016</v>
      </c>
      <c r="B2625">
        <v>1</v>
      </c>
      <c r="C2625">
        <v>43000</v>
      </c>
      <c r="D2625">
        <v>79764</v>
      </c>
      <c r="E2625">
        <v>43000</v>
      </c>
      <c r="F2625">
        <v>43000</v>
      </c>
      <c r="G2625" s="1">
        <v>1E-3</v>
      </c>
      <c r="H2625" s="1">
        <v>1E-3</v>
      </c>
      <c r="I2625" s="1">
        <v>1E-3</v>
      </c>
      <c r="J2625" s="1">
        <v>0.3992</v>
      </c>
    </row>
    <row r="2626" spans="1:10" x14ac:dyDescent="0.2">
      <c r="A2626" t="str">
        <f>"19/01/2016"</f>
        <v>19/01/2016</v>
      </c>
      <c r="B2626">
        <v>1</v>
      </c>
      <c r="C2626">
        <v>44000</v>
      </c>
      <c r="D2626">
        <v>83748</v>
      </c>
      <c r="E2626">
        <v>44000</v>
      </c>
      <c r="F2626">
        <v>44000</v>
      </c>
      <c r="G2626" s="1">
        <v>1E-3</v>
      </c>
      <c r="H2626" s="1">
        <v>1E-3</v>
      </c>
      <c r="I2626" s="1">
        <v>1E-3</v>
      </c>
      <c r="J2626" s="1">
        <v>0.39810000000000001</v>
      </c>
    </row>
    <row r="2627" spans="1:10" x14ac:dyDescent="0.2">
      <c r="A2627" t="str">
        <f>"18/01/2016"</f>
        <v>18/01/2016</v>
      </c>
      <c r="B2627">
        <v>1</v>
      </c>
      <c r="C2627">
        <v>46000</v>
      </c>
      <c r="D2627">
        <v>86031</v>
      </c>
      <c r="E2627">
        <v>46000</v>
      </c>
      <c r="F2627">
        <v>46000</v>
      </c>
      <c r="G2627" s="1">
        <v>1E-3</v>
      </c>
      <c r="H2627" s="1">
        <v>1E-3</v>
      </c>
      <c r="I2627" s="1">
        <v>1E-3</v>
      </c>
      <c r="J2627" s="1">
        <v>0.40610000000000002</v>
      </c>
    </row>
    <row r="2628" spans="1:10" x14ac:dyDescent="0.2">
      <c r="A2628" t="str">
        <f>"17/01/2016"</f>
        <v>17/01/2016</v>
      </c>
      <c r="B2628">
        <v>1</v>
      </c>
      <c r="C2628">
        <v>47000</v>
      </c>
      <c r="D2628">
        <v>90823</v>
      </c>
      <c r="E2628">
        <v>47000</v>
      </c>
      <c r="F2628">
        <v>47000</v>
      </c>
      <c r="G2628" s="1">
        <v>1E-3</v>
      </c>
      <c r="H2628" s="1">
        <v>1E-3</v>
      </c>
      <c r="I2628" s="1">
        <v>1E-3</v>
      </c>
      <c r="J2628" s="1">
        <v>0.39150000000000001</v>
      </c>
    </row>
    <row r="2629" spans="1:10" x14ac:dyDescent="0.2">
      <c r="A2629" t="str">
        <f>"14/01/2016"</f>
        <v>14/01/2016</v>
      </c>
      <c r="B2629">
        <v>3</v>
      </c>
      <c r="C2629">
        <v>61000</v>
      </c>
      <c r="D2629">
        <v>149609</v>
      </c>
      <c r="E2629">
        <v>61000</v>
      </c>
      <c r="F2629">
        <v>61000</v>
      </c>
      <c r="G2629" s="1">
        <v>1E-3</v>
      </c>
      <c r="H2629" s="1">
        <v>1E-3</v>
      </c>
      <c r="I2629" s="1">
        <v>1E-3</v>
      </c>
      <c r="J2629" s="1">
        <v>0.32400000000000001</v>
      </c>
    </row>
    <row r="2630" spans="1:10" x14ac:dyDescent="0.2">
      <c r="A2630" t="str">
        <f>"13/01/2016"</f>
        <v>13/01/2016</v>
      </c>
      <c r="B2630">
        <v>1</v>
      </c>
      <c r="C2630">
        <v>64000</v>
      </c>
      <c r="D2630">
        <v>160198</v>
      </c>
      <c r="E2630">
        <v>64000</v>
      </c>
      <c r="F2630">
        <v>64000</v>
      </c>
      <c r="G2630" s="1">
        <v>1E-3</v>
      </c>
      <c r="H2630" s="1">
        <v>1E-3</v>
      </c>
      <c r="I2630" s="1">
        <v>1E-3</v>
      </c>
      <c r="J2630" s="1">
        <v>0.30170000000000002</v>
      </c>
    </row>
    <row r="2631" spans="1:10" x14ac:dyDescent="0.2">
      <c r="A2631" t="str">
        <f>"12/01/2016"</f>
        <v>12/01/2016</v>
      </c>
      <c r="B2631">
        <v>1</v>
      </c>
      <c r="C2631">
        <v>64000</v>
      </c>
      <c r="D2631">
        <v>159701</v>
      </c>
      <c r="E2631">
        <v>64000</v>
      </c>
      <c r="F2631">
        <v>64000</v>
      </c>
      <c r="G2631" s="1">
        <v>1E-3</v>
      </c>
      <c r="H2631" s="1">
        <v>1E-3</v>
      </c>
      <c r="I2631" s="1">
        <v>1E-3</v>
      </c>
      <c r="J2631" s="1">
        <v>0.30880000000000002</v>
      </c>
    </row>
    <row r="2632" spans="1:10" x14ac:dyDescent="0.2">
      <c r="A2632" t="str">
        <f>"11/01/2016"</f>
        <v>11/01/2016</v>
      </c>
      <c r="B2632">
        <v>1</v>
      </c>
      <c r="C2632">
        <v>65000</v>
      </c>
      <c r="D2632">
        <v>154945</v>
      </c>
      <c r="E2632">
        <v>65000</v>
      </c>
      <c r="F2632">
        <v>65000</v>
      </c>
      <c r="G2632" s="1">
        <v>1E-3</v>
      </c>
      <c r="H2632" s="1">
        <v>1E-3</v>
      </c>
      <c r="I2632" s="1">
        <v>1E-3</v>
      </c>
      <c r="J2632" s="1">
        <v>0.31859999999999999</v>
      </c>
    </row>
    <row r="2633" spans="1:10" x14ac:dyDescent="0.2">
      <c r="A2633" t="str">
        <f>"10/01/2016"</f>
        <v>10/01/2016</v>
      </c>
      <c r="B2633">
        <v>1</v>
      </c>
      <c r="C2633">
        <v>64000</v>
      </c>
      <c r="D2633">
        <v>154880</v>
      </c>
      <c r="E2633">
        <v>64000</v>
      </c>
      <c r="F2633">
        <v>64000</v>
      </c>
      <c r="G2633" s="1">
        <v>1E-3</v>
      </c>
      <c r="H2633" s="1">
        <v>1E-3</v>
      </c>
      <c r="I2633" s="1">
        <v>1E-3</v>
      </c>
      <c r="J2633" s="1">
        <v>0.311</v>
      </c>
    </row>
    <row r="2634" spans="1:10" x14ac:dyDescent="0.2">
      <c r="A2634" t="str">
        <f>"07/01/2016"</f>
        <v>07/01/2016</v>
      </c>
      <c r="B2634">
        <v>3</v>
      </c>
      <c r="C2634">
        <v>63000</v>
      </c>
      <c r="D2634">
        <v>147071</v>
      </c>
      <c r="E2634">
        <v>63000</v>
      </c>
      <c r="F2634">
        <v>63000</v>
      </c>
      <c r="G2634" s="1">
        <v>1E-3</v>
      </c>
      <c r="H2634" s="1">
        <v>1E-3</v>
      </c>
      <c r="I2634" s="1">
        <v>1E-3</v>
      </c>
      <c r="J2634" s="1">
        <v>0.3397</v>
      </c>
    </row>
    <row r="2635" spans="1:10" x14ac:dyDescent="0.2">
      <c r="A2635" t="str">
        <f>"06/01/2016"</f>
        <v>06/01/2016</v>
      </c>
      <c r="B2635">
        <v>1</v>
      </c>
      <c r="C2635">
        <v>63000</v>
      </c>
      <c r="D2635">
        <v>120744</v>
      </c>
      <c r="E2635">
        <v>63000</v>
      </c>
      <c r="F2635">
        <v>63000</v>
      </c>
      <c r="G2635" s="1">
        <v>1E-3</v>
      </c>
      <c r="H2635" s="1">
        <v>1E-3</v>
      </c>
      <c r="I2635" s="1">
        <v>1E-3</v>
      </c>
      <c r="J2635" s="1">
        <v>0.40739999999999998</v>
      </c>
    </row>
    <row r="2636" spans="1:10" x14ac:dyDescent="0.2">
      <c r="A2636" t="str">
        <f>"05/01/2016"</f>
        <v>05/01/2016</v>
      </c>
      <c r="B2636">
        <v>1</v>
      </c>
      <c r="C2636">
        <v>61000</v>
      </c>
      <c r="D2636">
        <v>108596</v>
      </c>
      <c r="E2636">
        <v>61000</v>
      </c>
      <c r="F2636">
        <v>61000</v>
      </c>
      <c r="G2636" s="1">
        <v>1E-3</v>
      </c>
      <c r="H2636" s="1">
        <v>1E-3</v>
      </c>
      <c r="I2636" s="1">
        <v>1E-3</v>
      </c>
      <c r="J2636" s="1">
        <v>0.46989999999999998</v>
      </c>
    </row>
    <row r="2637" spans="1:10" x14ac:dyDescent="0.2">
      <c r="A2637" t="str">
        <f>"04/01/2016"</f>
        <v>04/01/2016</v>
      </c>
      <c r="B2637">
        <v>1</v>
      </c>
      <c r="C2637">
        <v>62000</v>
      </c>
      <c r="D2637">
        <v>95057</v>
      </c>
      <c r="E2637">
        <v>62000</v>
      </c>
      <c r="F2637">
        <v>62000</v>
      </c>
      <c r="G2637" s="1">
        <v>1E-3</v>
      </c>
      <c r="H2637" s="1">
        <v>1E-3</v>
      </c>
      <c r="I2637" s="1">
        <v>1E-3</v>
      </c>
      <c r="J2637" s="1">
        <v>0.55789999999999995</v>
      </c>
    </row>
    <row r="2638" spans="1:10" x14ac:dyDescent="0.2">
      <c r="A2638" t="str">
        <f>"03/01/2016"</f>
        <v>03/01/2016</v>
      </c>
      <c r="B2638">
        <v>1</v>
      </c>
      <c r="C2638">
        <v>62000</v>
      </c>
      <c r="D2638">
        <v>88885</v>
      </c>
      <c r="E2638">
        <v>62000</v>
      </c>
      <c r="F2638">
        <v>62000</v>
      </c>
      <c r="G2638" s="1">
        <v>1E-3</v>
      </c>
      <c r="H2638" s="1">
        <v>1E-3</v>
      </c>
      <c r="I2638" s="1">
        <v>1E-3</v>
      </c>
      <c r="J2638" s="1">
        <v>0.61539999999999995</v>
      </c>
    </row>
    <row r="2639" spans="1:10" x14ac:dyDescent="0.2">
      <c r="A2639" t="str">
        <f>"31/12/2015"</f>
        <v>31/12/2015</v>
      </c>
      <c r="B2639">
        <v>3</v>
      </c>
      <c r="C2639">
        <v>59000</v>
      </c>
      <c r="D2639">
        <v>67890</v>
      </c>
      <c r="E2639">
        <v>59000</v>
      </c>
      <c r="F2639">
        <v>59000</v>
      </c>
      <c r="G2639" s="1">
        <v>1E-3</v>
      </c>
      <c r="H2639" s="1">
        <v>1E-3</v>
      </c>
      <c r="I2639" s="1">
        <v>1E-3</v>
      </c>
      <c r="J2639" s="1">
        <v>0.81510000000000005</v>
      </c>
    </row>
    <row r="2640" spans="1:10" x14ac:dyDescent="0.2">
      <c r="A2640" t="str">
        <f>"30/12/2015"</f>
        <v>30/12/2015</v>
      </c>
      <c r="B2640">
        <v>1</v>
      </c>
      <c r="C2640">
        <v>55000</v>
      </c>
      <c r="D2640">
        <v>43105</v>
      </c>
      <c r="E2640">
        <v>43105</v>
      </c>
      <c r="F2640">
        <v>43105</v>
      </c>
      <c r="G2640" s="1">
        <v>1E-3</v>
      </c>
      <c r="H2640" s="1">
        <v>8.9999999999999998E-4</v>
      </c>
      <c r="I2640" s="1">
        <v>8.9999999999999998E-4</v>
      </c>
      <c r="J2640" s="1">
        <v>1</v>
      </c>
    </row>
    <row r="2641" spans="1:10" x14ac:dyDescent="0.2">
      <c r="A2641" t="str">
        <f>"29/12/2015"</f>
        <v>29/12/2015</v>
      </c>
      <c r="B2641">
        <v>1</v>
      </c>
      <c r="C2641">
        <v>51000</v>
      </c>
      <c r="D2641">
        <v>57369</v>
      </c>
      <c r="E2641">
        <v>51000</v>
      </c>
      <c r="F2641">
        <v>51000</v>
      </c>
      <c r="G2641" s="1">
        <v>1E-3</v>
      </c>
      <c r="H2641" s="1">
        <v>1E-3</v>
      </c>
      <c r="I2641" s="1">
        <v>1E-3</v>
      </c>
      <c r="J2641" s="1">
        <v>0.80989999999999995</v>
      </c>
    </row>
    <row r="2642" spans="1:10" x14ac:dyDescent="0.2">
      <c r="A2642" t="str">
        <f>"28/12/2015"</f>
        <v>28/12/2015</v>
      </c>
      <c r="B2642">
        <v>1</v>
      </c>
      <c r="C2642">
        <v>50000</v>
      </c>
      <c r="D2642">
        <v>80540</v>
      </c>
      <c r="E2642">
        <v>50000</v>
      </c>
      <c r="F2642">
        <v>50000</v>
      </c>
      <c r="G2642" s="1">
        <v>1E-3</v>
      </c>
      <c r="H2642" s="1">
        <v>1E-3</v>
      </c>
      <c r="I2642" s="1">
        <v>1E-3</v>
      </c>
      <c r="J2642" s="1">
        <v>0.4677</v>
      </c>
    </row>
    <row r="2643" spans="1:10" x14ac:dyDescent="0.2">
      <c r="A2643" t="str">
        <f>"27/12/2015"</f>
        <v>27/12/2015</v>
      </c>
      <c r="B2643">
        <v>1</v>
      </c>
      <c r="C2643">
        <v>48000</v>
      </c>
      <c r="D2643">
        <v>94360</v>
      </c>
      <c r="E2643">
        <v>48000</v>
      </c>
      <c r="F2643">
        <v>48000</v>
      </c>
      <c r="G2643" s="1">
        <v>1E-3</v>
      </c>
      <c r="H2643" s="1">
        <v>1E-3</v>
      </c>
      <c r="I2643" s="1">
        <v>1E-3</v>
      </c>
      <c r="J2643" s="1">
        <v>0.36259999999999998</v>
      </c>
    </row>
    <row r="2644" spans="1:10" x14ac:dyDescent="0.2">
      <c r="A2644" t="str">
        <f>"24/12/2015"</f>
        <v>24/12/2015</v>
      </c>
      <c r="B2644">
        <v>3</v>
      </c>
      <c r="C2644">
        <v>44000</v>
      </c>
      <c r="D2644">
        <v>97787</v>
      </c>
      <c r="E2644">
        <v>44000</v>
      </c>
      <c r="F2644">
        <v>44000</v>
      </c>
      <c r="G2644" s="1">
        <v>1E-3</v>
      </c>
      <c r="H2644" s="1">
        <v>1E-3</v>
      </c>
      <c r="I2644" s="1">
        <v>1E-3</v>
      </c>
      <c r="J2644" s="1">
        <v>0.33129999999999998</v>
      </c>
    </row>
    <row r="2645" spans="1:10" x14ac:dyDescent="0.2">
      <c r="A2645" t="str">
        <f>"23/12/2015"</f>
        <v>23/12/2015</v>
      </c>
      <c r="B2645">
        <v>1</v>
      </c>
      <c r="C2645">
        <v>43000</v>
      </c>
      <c r="D2645">
        <v>94921</v>
      </c>
      <c r="E2645">
        <v>43000</v>
      </c>
      <c r="F2645">
        <v>43000</v>
      </c>
      <c r="G2645" s="1">
        <v>1E-3</v>
      </c>
      <c r="H2645" s="1">
        <v>1E-3</v>
      </c>
      <c r="I2645" s="1">
        <v>1E-3</v>
      </c>
      <c r="J2645" s="1">
        <v>0.32150000000000001</v>
      </c>
    </row>
    <row r="2646" spans="1:10" x14ac:dyDescent="0.2">
      <c r="A2646" t="str">
        <f>"22/12/2015"</f>
        <v>22/12/2015</v>
      </c>
      <c r="B2646">
        <v>1</v>
      </c>
      <c r="C2646">
        <v>42000</v>
      </c>
      <c r="D2646">
        <v>87103</v>
      </c>
      <c r="E2646">
        <v>42000</v>
      </c>
      <c r="F2646">
        <v>42000</v>
      </c>
      <c r="G2646" s="1">
        <v>1E-3</v>
      </c>
      <c r="H2646" s="1">
        <v>1E-3</v>
      </c>
      <c r="I2646" s="1">
        <v>1E-3</v>
      </c>
      <c r="J2646" s="1">
        <v>0.3574</v>
      </c>
    </row>
    <row r="2647" spans="1:10" x14ac:dyDescent="0.2">
      <c r="A2647" t="str">
        <f>"21/12/2015"</f>
        <v>21/12/2015</v>
      </c>
      <c r="B2647">
        <v>1</v>
      </c>
      <c r="C2647">
        <v>39000</v>
      </c>
      <c r="D2647">
        <v>80458</v>
      </c>
      <c r="E2647">
        <v>39000</v>
      </c>
      <c r="F2647">
        <v>39000</v>
      </c>
      <c r="G2647" s="1">
        <v>1E-3</v>
      </c>
      <c r="H2647" s="1">
        <v>1E-3</v>
      </c>
      <c r="I2647" s="1">
        <v>1E-3</v>
      </c>
      <c r="J2647" s="1">
        <v>0.36049999999999999</v>
      </c>
    </row>
    <row r="2648" spans="1:10" x14ac:dyDescent="0.2">
      <c r="A2648" t="str">
        <f>"20/12/2015"</f>
        <v>20/12/2015</v>
      </c>
      <c r="B2648">
        <v>1</v>
      </c>
      <c r="C2648">
        <v>40000</v>
      </c>
      <c r="D2648">
        <v>80890</v>
      </c>
      <c r="E2648">
        <v>40000</v>
      </c>
      <c r="F2648">
        <v>40000</v>
      </c>
      <c r="G2648" s="1">
        <v>1E-3</v>
      </c>
      <c r="H2648" s="1">
        <v>1E-3</v>
      </c>
      <c r="I2648" s="1">
        <v>1E-3</v>
      </c>
      <c r="J2648" s="1">
        <v>0.36770000000000003</v>
      </c>
    </row>
    <row r="2649" spans="1:10" x14ac:dyDescent="0.2">
      <c r="A2649" t="str">
        <f>"17/12/2015"</f>
        <v>17/12/2015</v>
      </c>
      <c r="B2649">
        <v>3</v>
      </c>
      <c r="C2649">
        <v>42000</v>
      </c>
      <c r="D2649">
        <v>94004</v>
      </c>
      <c r="E2649">
        <v>42000</v>
      </c>
      <c r="F2649">
        <v>42000</v>
      </c>
      <c r="G2649" s="1">
        <v>1E-3</v>
      </c>
      <c r="H2649" s="1">
        <v>1E-3</v>
      </c>
      <c r="I2649" s="1">
        <v>1E-3</v>
      </c>
      <c r="J2649" s="1">
        <v>0.3256</v>
      </c>
    </row>
    <row r="2650" spans="1:10" x14ac:dyDescent="0.2">
      <c r="A2650" t="str">
        <f>"16/12/2015"</f>
        <v>16/12/2015</v>
      </c>
      <c r="B2650">
        <v>1</v>
      </c>
      <c r="C2650">
        <v>43000</v>
      </c>
      <c r="D2650">
        <v>98661</v>
      </c>
      <c r="E2650">
        <v>43000</v>
      </c>
      <c r="F2650">
        <v>43000</v>
      </c>
      <c r="G2650" s="1">
        <v>1E-3</v>
      </c>
      <c r="H2650" s="1">
        <v>1E-3</v>
      </c>
      <c r="I2650" s="1">
        <v>1E-3</v>
      </c>
      <c r="J2650" s="1">
        <v>0.31209999999999999</v>
      </c>
    </row>
    <row r="2651" spans="1:10" x14ac:dyDescent="0.2">
      <c r="A2651" t="str">
        <f>"15/12/2015"</f>
        <v>15/12/2015</v>
      </c>
      <c r="B2651">
        <v>1</v>
      </c>
      <c r="C2651">
        <v>53000</v>
      </c>
      <c r="D2651">
        <v>127750</v>
      </c>
      <c r="E2651">
        <v>53000</v>
      </c>
      <c r="F2651">
        <v>53000</v>
      </c>
      <c r="G2651" s="1">
        <v>1E-3</v>
      </c>
      <c r="H2651" s="1">
        <v>1E-3</v>
      </c>
      <c r="I2651" s="1">
        <v>1E-3</v>
      </c>
      <c r="J2651" s="1">
        <v>0.29110000000000003</v>
      </c>
    </row>
    <row r="2652" spans="1:10" x14ac:dyDescent="0.2">
      <c r="A2652" t="str">
        <f>"14/12/2015"</f>
        <v>14/12/2015</v>
      </c>
      <c r="B2652">
        <v>1</v>
      </c>
      <c r="C2652">
        <v>54000</v>
      </c>
      <c r="D2652">
        <v>136255</v>
      </c>
      <c r="E2652">
        <v>54000</v>
      </c>
      <c r="F2652">
        <v>54000</v>
      </c>
      <c r="G2652" s="1">
        <v>1E-3</v>
      </c>
      <c r="H2652" s="1">
        <v>1E-3</v>
      </c>
      <c r="I2652" s="1">
        <v>1E-3</v>
      </c>
      <c r="J2652" s="1">
        <v>0.28970000000000001</v>
      </c>
    </row>
    <row r="2653" spans="1:10" x14ac:dyDescent="0.2">
      <c r="A2653" t="str">
        <f>"13/12/2015"</f>
        <v>13/12/2015</v>
      </c>
      <c r="B2653">
        <v>1</v>
      </c>
      <c r="C2653">
        <v>54000</v>
      </c>
      <c r="D2653">
        <v>138955</v>
      </c>
      <c r="E2653">
        <v>54000</v>
      </c>
      <c r="F2653">
        <v>54000</v>
      </c>
      <c r="G2653" s="1">
        <v>1E-3</v>
      </c>
      <c r="H2653" s="1">
        <v>1E-3</v>
      </c>
      <c r="I2653" s="1">
        <v>1E-3</v>
      </c>
      <c r="J2653" s="1">
        <v>0.29010000000000002</v>
      </c>
    </row>
    <row r="2654" spans="1:10" x14ac:dyDescent="0.2">
      <c r="A2654" t="str">
        <f>"10/12/2015"</f>
        <v>10/12/2015</v>
      </c>
      <c r="B2654">
        <v>3</v>
      </c>
      <c r="C2654">
        <v>54000</v>
      </c>
      <c r="D2654">
        <v>137403</v>
      </c>
      <c r="E2654">
        <v>54000</v>
      </c>
      <c r="F2654">
        <v>54000</v>
      </c>
      <c r="G2654" s="1">
        <v>1E-3</v>
      </c>
      <c r="H2654" s="1">
        <v>1E-3</v>
      </c>
      <c r="I2654" s="1">
        <v>1E-3</v>
      </c>
      <c r="J2654" s="1">
        <v>0.29049999999999998</v>
      </c>
    </row>
    <row r="2655" spans="1:10" x14ac:dyDescent="0.2">
      <c r="A2655" t="str">
        <f>"09/12/2015"</f>
        <v>09/12/2015</v>
      </c>
      <c r="B2655">
        <v>1</v>
      </c>
      <c r="C2655">
        <v>53000</v>
      </c>
      <c r="D2655">
        <v>140411</v>
      </c>
      <c r="E2655">
        <v>53000</v>
      </c>
      <c r="F2655">
        <v>53000</v>
      </c>
      <c r="G2655" s="1">
        <v>1E-3</v>
      </c>
      <c r="H2655" s="1">
        <v>1E-3</v>
      </c>
      <c r="I2655" s="1">
        <v>1E-3</v>
      </c>
      <c r="J2655" s="1">
        <v>0.28610000000000002</v>
      </c>
    </row>
    <row r="2656" spans="1:10" x14ac:dyDescent="0.2">
      <c r="A2656" t="str">
        <f>"08/12/2015"</f>
        <v>08/12/2015</v>
      </c>
      <c r="B2656">
        <v>1</v>
      </c>
      <c r="C2656">
        <v>52000</v>
      </c>
      <c r="D2656">
        <v>131295</v>
      </c>
      <c r="E2656">
        <v>52000</v>
      </c>
      <c r="F2656">
        <v>52000</v>
      </c>
      <c r="G2656" s="1">
        <v>1E-3</v>
      </c>
      <c r="H2656" s="1">
        <v>1E-3</v>
      </c>
      <c r="I2656" s="1">
        <v>1E-3</v>
      </c>
      <c r="J2656" s="1">
        <v>0.29559999999999997</v>
      </c>
    </row>
    <row r="2657" spans="1:10" x14ac:dyDescent="0.2">
      <c r="A2657" t="str">
        <f>"07/12/2015"</f>
        <v>07/12/2015</v>
      </c>
      <c r="B2657">
        <v>1</v>
      </c>
      <c r="C2657">
        <v>52000</v>
      </c>
      <c r="D2657">
        <v>130310</v>
      </c>
      <c r="E2657">
        <v>52000</v>
      </c>
      <c r="F2657">
        <v>52000</v>
      </c>
      <c r="G2657" s="1">
        <v>1E-3</v>
      </c>
      <c r="H2657" s="1">
        <v>1E-3</v>
      </c>
      <c r="I2657" s="1">
        <v>1E-3</v>
      </c>
      <c r="J2657" s="1">
        <v>0.28970000000000001</v>
      </c>
    </row>
    <row r="2658" spans="1:10" x14ac:dyDescent="0.2">
      <c r="A2658" t="str">
        <f>"06/12/2015"</f>
        <v>06/12/2015</v>
      </c>
      <c r="B2658">
        <v>1</v>
      </c>
      <c r="C2658">
        <v>52000</v>
      </c>
      <c r="D2658">
        <v>129583</v>
      </c>
      <c r="E2658">
        <v>52000</v>
      </c>
      <c r="F2658">
        <v>52000</v>
      </c>
      <c r="G2658" s="1">
        <v>1E-3</v>
      </c>
      <c r="H2658" s="1">
        <v>1E-3</v>
      </c>
      <c r="I2658" s="1">
        <v>1E-3</v>
      </c>
      <c r="J2658" s="1">
        <v>0.28820000000000001</v>
      </c>
    </row>
    <row r="2659" spans="1:10" x14ac:dyDescent="0.2">
      <c r="A2659" t="str">
        <f>"03/12/2015"</f>
        <v>03/12/2015</v>
      </c>
      <c r="B2659">
        <v>3</v>
      </c>
      <c r="C2659">
        <v>52000</v>
      </c>
      <c r="D2659">
        <v>125993</v>
      </c>
      <c r="E2659">
        <v>52000</v>
      </c>
      <c r="F2659">
        <v>52000</v>
      </c>
      <c r="G2659" s="1">
        <v>1E-3</v>
      </c>
      <c r="H2659" s="1">
        <v>1E-3</v>
      </c>
      <c r="I2659" s="1">
        <v>1E-3</v>
      </c>
      <c r="J2659" s="1">
        <v>0.30270000000000002</v>
      </c>
    </row>
    <row r="2660" spans="1:10" x14ac:dyDescent="0.2">
      <c r="A2660" t="str">
        <f>"02/12/2015"</f>
        <v>02/12/2015</v>
      </c>
      <c r="B2660">
        <v>1</v>
      </c>
      <c r="C2660">
        <v>51000</v>
      </c>
      <c r="D2660">
        <v>119106</v>
      </c>
      <c r="E2660">
        <v>51000</v>
      </c>
      <c r="F2660">
        <v>51000</v>
      </c>
      <c r="G2660" s="1">
        <v>1E-3</v>
      </c>
      <c r="H2660" s="1">
        <v>1E-3</v>
      </c>
      <c r="I2660" s="1">
        <v>1E-3</v>
      </c>
      <c r="J2660" s="1">
        <v>0.28949999999999998</v>
      </c>
    </row>
    <row r="2661" spans="1:10" x14ac:dyDescent="0.2">
      <c r="A2661" t="str">
        <f>"01/12/2015"</f>
        <v>01/12/2015</v>
      </c>
      <c r="B2661">
        <v>1</v>
      </c>
      <c r="C2661">
        <v>49000</v>
      </c>
      <c r="D2661">
        <v>100590</v>
      </c>
      <c r="E2661">
        <v>49000</v>
      </c>
      <c r="F2661">
        <v>49000</v>
      </c>
      <c r="G2661" s="1">
        <v>1E-3</v>
      </c>
      <c r="H2661" s="1">
        <v>1E-3</v>
      </c>
      <c r="I2661" s="1">
        <v>1E-3</v>
      </c>
      <c r="J2661" s="1">
        <v>0.3523</v>
      </c>
    </row>
    <row r="2662" spans="1:10" x14ac:dyDescent="0.2">
      <c r="A2662" t="str">
        <f>"30/11/2015"</f>
        <v>30/11/2015</v>
      </c>
      <c r="B2662">
        <v>1</v>
      </c>
      <c r="C2662">
        <v>42000</v>
      </c>
      <c r="D2662">
        <v>73031</v>
      </c>
      <c r="E2662">
        <v>42000</v>
      </c>
      <c r="F2662">
        <v>42000</v>
      </c>
      <c r="G2662" s="1">
        <v>1E-3</v>
      </c>
      <c r="H2662" s="1">
        <v>1E-3</v>
      </c>
      <c r="I2662" s="1">
        <v>1E-3</v>
      </c>
      <c r="J2662" s="1">
        <v>0.45169999999999999</v>
      </c>
    </row>
    <row r="2663" spans="1:10" x14ac:dyDescent="0.2">
      <c r="A2663" t="str">
        <f>"29/11/2015"</f>
        <v>29/11/2015</v>
      </c>
      <c r="B2663">
        <v>1</v>
      </c>
      <c r="C2663">
        <v>41000</v>
      </c>
      <c r="D2663">
        <v>62145</v>
      </c>
      <c r="E2663">
        <v>41000</v>
      </c>
      <c r="F2663">
        <v>41000</v>
      </c>
      <c r="G2663" s="1">
        <v>1E-3</v>
      </c>
      <c r="H2663" s="1">
        <v>1E-3</v>
      </c>
      <c r="I2663" s="1">
        <v>1E-3</v>
      </c>
      <c r="J2663" s="1">
        <v>0.54479999999999995</v>
      </c>
    </row>
    <row r="2664" spans="1:10" x14ac:dyDescent="0.2">
      <c r="A2664" t="str">
        <f>"26/11/2015"</f>
        <v>26/11/2015</v>
      </c>
      <c r="B2664">
        <v>3</v>
      </c>
      <c r="C2664">
        <v>37000</v>
      </c>
      <c r="D2664">
        <v>45492</v>
      </c>
      <c r="E2664">
        <v>37000</v>
      </c>
      <c r="F2664">
        <v>37000</v>
      </c>
      <c r="G2664" s="1">
        <v>1E-3</v>
      </c>
      <c r="H2664" s="1">
        <v>1E-3</v>
      </c>
      <c r="I2664" s="1">
        <v>1E-3</v>
      </c>
      <c r="J2664" s="1">
        <v>0.71579999999999999</v>
      </c>
    </row>
    <row r="2665" spans="1:10" x14ac:dyDescent="0.2">
      <c r="A2665" t="str">
        <f>"25/11/2015"</f>
        <v>25/11/2015</v>
      </c>
      <c r="B2665">
        <v>1</v>
      </c>
      <c r="C2665">
        <v>32000</v>
      </c>
      <c r="D2665">
        <v>29534</v>
      </c>
      <c r="E2665">
        <v>29534</v>
      </c>
      <c r="F2665">
        <v>29534</v>
      </c>
      <c r="G2665" s="1">
        <v>1E-3</v>
      </c>
      <c r="H2665" s="1">
        <v>8.9999999999999998E-4</v>
      </c>
      <c r="I2665" s="1">
        <v>8.9999999999999998E-4</v>
      </c>
      <c r="J2665" s="1">
        <v>1</v>
      </c>
    </row>
    <row r="2666" spans="1:10" x14ac:dyDescent="0.2">
      <c r="A2666" t="str">
        <f>"24/11/2015"</f>
        <v>24/11/2015</v>
      </c>
      <c r="B2666">
        <v>1</v>
      </c>
      <c r="C2666">
        <v>31000</v>
      </c>
      <c r="D2666">
        <v>45258</v>
      </c>
      <c r="E2666">
        <v>31000</v>
      </c>
      <c r="F2666">
        <v>31000</v>
      </c>
      <c r="G2666" s="1">
        <v>1E-3</v>
      </c>
      <c r="H2666" s="1">
        <v>8.9999999999999998E-4</v>
      </c>
      <c r="I2666" s="1">
        <v>8.9999999999999998E-4</v>
      </c>
      <c r="J2666" s="1">
        <v>0.50829999999999997</v>
      </c>
    </row>
    <row r="2667" spans="1:10" x14ac:dyDescent="0.2">
      <c r="A2667" t="str">
        <f>"23/11/2015"</f>
        <v>23/11/2015</v>
      </c>
      <c r="B2667">
        <v>1</v>
      </c>
      <c r="C2667">
        <v>33000</v>
      </c>
      <c r="D2667">
        <v>61823</v>
      </c>
      <c r="E2667">
        <v>33000</v>
      </c>
      <c r="F2667">
        <v>33000</v>
      </c>
      <c r="G2667" s="1">
        <v>1E-3</v>
      </c>
      <c r="H2667" s="1">
        <v>8.9999999999999998E-4</v>
      </c>
      <c r="I2667" s="1">
        <v>8.9999999999999998E-4</v>
      </c>
      <c r="J2667" s="1">
        <v>0.34489999999999998</v>
      </c>
    </row>
    <row r="2668" spans="1:10" x14ac:dyDescent="0.2">
      <c r="A2668" t="str">
        <f>"22/11/2015"</f>
        <v>22/11/2015</v>
      </c>
      <c r="B2668">
        <v>1</v>
      </c>
      <c r="C2668">
        <v>34000</v>
      </c>
      <c r="D2668">
        <v>88206</v>
      </c>
      <c r="E2668">
        <v>34000</v>
      </c>
      <c r="F2668">
        <v>34000</v>
      </c>
      <c r="G2668" s="1">
        <v>1E-3</v>
      </c>
      <c r="H2668" s="1">
        <v>1E-3</v>
      </c>
      <c r="I2668" s="1">
        <v>1E-3</v>
      </c>
      <c r="J2668" s="1">
        <v>0.26490000000000002</v>
      </c>
    </row>
    <row r="2669" spans="1:10" x14ac:dyDescent="0.2">
      <c r="A2669" t="str">
        <f>"19/11/2015"</f>
        <v>19/11/2015</v>
      </c>
      <c r="B2669">
        <v>3</v>
      </c>
      <c r="C2669">
        <v>35000</v>
      </c>
      <c r="D2669">
        <v>100255</v>
      </c>
      <c r="E2669">
        <v>35000</v>
      </c>
      <c r="F2669">
        <v>35000</v>
      </c>
      <c r="G2669" s="1">
        <v>1E-3</v>
      </c>
      <c r="H2669" s="1">
        <v>1E-3</v>
      </c>
      <c r="I2669" s="1">
        <v>1E-3</v>
      </c>
      <c r="J2669" s="1">
        <v>0.2339</v>
      </c>
    </row>
    <row r="2670" spans="1:10" x14ac:dyDescent="0.2">
      <c r="A2670" t="str">
        <f>"18/11/2015"</f>
        <v>18/11/2015</v>
      </c>
      <c r="B2670">
        <v>1</v>
      </c>
      <c r="C2670">
        <v>36000</v>
      </c>
      <c r="D2670">
        <v>107452</v>
      </c>
      <c r="E2670">
        <v>36000</v>
      </c>
      <c r="F2670">
        <v>36000</v>
      </c>
      <c r="G2670" s="1">
        <v>1E-3</v>
      </c>
      <c r="H2670" s="1">
        <v>1E-3</v>
      </c>
      <c r="I2670" s="1">
        <v>1E-3</v>
      </c>
      <c r="J2670" s="1">
        <v>0.21679999999999999</v>
      </c>
    </row>
    <row r="2671" spans="1:10" x14ac:dyDescent="0.2">
      <c r="A2671" t="str">
        <f>"17/11/2015"</f>
        <v>17/11/2015</v>
      </c>
      <c r="B2671">
        <v>1</v>
      </c>
      <c r="C2671">
        <v>36000</v>
      </c>
      <c r="D2671">
        <v>106277</v>
      </c>
      <c r="E2671">
        <v>36000</v>
      </c>
      <c r="F2671">
        <v>36000</v>
      </c>
      <c r="G2671" s="1">
        <v>1E-3</v>
      </c>
      <c r="H2671" s="1">
        <v>1E-3</v>
      </c>
      <c r="I2671" s="1">
        <v>1E-3</v>
      </c>
      <c r="J2671" s="1">
        <v>0.22259999999999999</v>
      </c>
    </row>
    <row r="2672" spans="1:10" x14ac:dyDescent="0.2">
      <c r="A2672" t="str">
        <f>"16/11/2015"</f>
        <v>16/11/2015</v>
      </c>
      <c r="B2672">
        <v>1</v>
      </c>
      <c r="C2672">
        <v>38000</v>
      </c>
      <c r="D2672">
        <v>108483</v>
      </c>
      <c r="E2672">
        <v>38000</v>
      </c>
      <c r="F2672">
        <v>38000</v>
      </c>
      <c r="G2672" s="1">
        <v>1E-3</v>
      </c>
      <c r="H2672" s="1">
        <v>1E-3</v>
      </c>
      <c r="I2672" s="1">
        <v>1E-3</v>
      </c>
      <c r="J2672" s="1">
        <v>0.24460000000000001</v>
      </c>
    </row>
    <row r="2673" spans="1:10" x14ac:dyDescent="0.2">
      <c r="A2673" t="str">
        <f>"15/11/2015"</f>
        <v>15/11/2015</v>
      </c>
      <c r="B2673">
        <v>1</v>
      </c>
      <c r="C2673">
        <v>49000</v>
      </c>
      <c r="D2673">
        <v>133686</v>
      </c>
      <c r="E2673">
        <v>49000</v>
      </c>
      <c r="F2673">
        <v>49000</v>
      </c>
      <c r="G2673" s="1">
        <v>1E-3</v>
      </c>
      <c r="H2673" s="1">
        <v>1E-3</v>
      </c>
      <c r="I2673" s="1">
        <v>1E-3</v>
      </c>
      <c r="J2673" s="1">
        <v>0.26869999999999999</v>
      </c>
    </row>
    <row r="2674" spans="1:10" x14ac:dyDescent="0.2">
      <c r="A2674" t="str">
        <f>"12/11/2015"</f>
        <v>12/11/2015</v>
      </c>
      <c r="B2674">
        <v>3</v>
      </c>
      <c r="C2674">
        <v>52000</v>
      </c>
      <c r="D2674">
        <v>145346</v>
      </c>
      <c r="E2674">
        <v>52000</v>
      </c>
      <c r="F2674">
        <v>52000</v>
      </c>
      <c r="G2674" s="1">
        <v>1E-3</v>
      </c>
      <c r="H2674" s="1">
        <v>1E-3</v>
      </c>
      <c r="I2674" s="1">
        <v>1E-3</v>
      </c>
      <c r="J2674" s="1">
        <v>0.25890000000000002</v>
      </c>
    </row>
    <row r="2675" spans="1:10" x14ac:dyDescent="0.2">
      <c r="A2675" t="str">
        <f>"11/11/2015"</f>
        <v>11/11/2015</v>
      </c>
      <c r="B2675">
        <v>1</v>
      </c>
      <c r="C2675">
        <v>52000</v>
      </c>
      <c r="D2675">
        <v>150596</v>
      </c>
      <c r="E2675">
        <v>52000</v>
      </c>
      <c r="F2675">
        <v>52000</v>
      </c>
      <c r="G2675" s="1">
        <v>1E-3</v>
      </c>
      <c r="H2675" s="1">
        <v>1E-3</v>
      </c>
      <c r="I2675" s="1">
        <v>1E-3</v>
      </c>
      <c r="J2675" s="1">
        <v>0.24629999999999999</v>
      </c>
    </row>
    <row r="2676" spans="1:10" x14ac:dyDescent="0.2">
      <c r="A2676" t="str">
        <f>"10/11/2015"</f>
        <v>10/11/2015</v>
      </c>
      <c r="B2676">
        <v>1</v>
      </c>
      <c r="C2676">
        <v>53000</v>
      </c>
      <c r="D2676">
        <v>145342</v>
      </c>
      <c r="E2676">
        <v>53000</v>
      </c>
      <c r="F2676">
        <v>53000</v>
      </c>
      <c r="G2676" s="1">
        <v>1E-3</v>
      </c>
      <c r="H2676" s="1">
        <v>1E-3</v>
      </c>
      <c r="I2676" s="1">
        <v>1E-3</v>
      </c>
      <c r="J2676" s="1">
        <v>0.26919999999999999</v>
      </c>
    </row>
    <row r="2677" spans="1:10" x14ac:dyDescent="0.2">
      <c r="A2677" t="str">
        <f>"09/11/2015"</f>
        <v>09/11/2015</v>
      </c>
      <c r="B2677">
        <v>1</v>
      </c>
      <c r="C2677">
        <v>52000</v>
      </c>
      <c r="D2677">
        <v>136489</v>
      </c>
      <c r="E2677">
        <v>52000</v>
      </c>
      <c r="F2677">
        <v>52000</v>
      </c>
      <c r="G2677" s="1">
        <v>1E-3</v>
      </c>
      <c r="H2677" s="1">
        <v>1E-3</v>
      </c>
      <c r="I2677" s="1">
        <v>1E-3</v>
      </c>
      <c r="J2677" s="1">
        <v>0.28970000000000001</v>
      </c>
    </row>
    <row r="2678" spans="1:10" x14ac:dyDescent="0.2">
      <c r="A2678" t="str">
        <f>"08/11/2015"</f>
        <v>08/11/2015</v>
      </c>
      <c r="B2678">
        <v>1</v>
      </c>
      <c r="C2678">
        <v>52000</v>
      </c>
      <c r="D2678">
        <v>121037</v>
      </c>
      <c r="E2678">
        <v>52000</v>
      </c>
      <c r="F2678">
        <v>52000</v>
      </c>
      <c r="G2678" s="1">
        <v>1E-3</v>
      </c>
      <c r="H2678" s="1">
        <v>1E-3</v>
      </c>
      <c r="I2678" s="1">
        <v>1E-3</v>
      </c>
      <c r="J2678" s="1">
        <v>0.32100000000000001</v>
      </c>
    </row>
    <row r="2679" spans="1:10" x14ac:dyDescent="0.2">
      <c r="A2679" t="str">
        <f>"05/11/2015"</f>
        <v>05/11/2015</v>
      </c>
      <c r="B2679">
        <v>3</v>
      </c>
      <c r="C2679">
        <v>53000</v>
      </c>
      <c r="D2679">
        <v>124281</v>
      </c>
      <c r="E2679">
        <v>53000</v>
      </c>
      <c r="F2679">
        <v>53000</v>
      </c>
      <c r="G2679" s="1">
        <v>1E-3</v>
      </c>
      <c r="H2679" s="1">
        <v>1E-3</v>
      </c>
      <c r="I2679" s="1">
        <v>1E-3</v>
      </c>
      <c r="J2679" s="1">
        <v>0.34239999999999998</v>
      </c>
    </row>
    <row r="2680" spans="1:10" x14ac:dyDescent="0.2">
      <c r="A2680" t="str">
        <f>"04/11/2015"</f>
        <v>04/11/2015</v>
      </c>
      <c r="B2680">
        <v>1</v>
      </c>
      <c r="C2680">
        <v>52000</v>
      </c>
      <c r="D2680">
        <v>115770</v>
      </c>
      <c r="E2680">
        <v>52000</v>
      </c>
      <c r="F2680">
        <v>52000</v>
      </c>
      <c r="G2680" s="1">
        <v>1E-3</v>
      </c>
      <c r="H2680" s="1">
        <v>1E-3</v>
      </c>
      <c r="I2680" s="1">
        <v>1E-3</v>
      </c>
      <c r="J2680" s="1">
        <v>0.36480000000000001</v>
      </c>
    </row>
    <row r="2681" spans="1:10" x14ac:dyDescent="0.2">
      <c r="A2681" t="str">
        <f>"03/11/2015"</f>
        <v>03/11/2015</v>
      </c>
      <c r="B2681">
        <v>1</v>
      </c>
      <c r="C2681">
        <v>51000</v>
      </c>
      <c r="D2681">
        <v>96179</v>
      </c>
      <c r="E2681">
        <v>51000</v>
      </c>
      <c r="F2681">
        <v>51000</v>
      </c>
      <c r="G2681" s="1">
        <v>1E-3</v>
      </c>
      <c r="H2681" s="1">
        <v>1E-3</v>
      </c>
      <c r="I2681" s="1">
        <v>1E-3</v>
      </c>
      <c r="J2681" s="1">
        <v>0.433</v>
      </c>
    </row>
    <row r="2682" spans="1:10" x14ac:dyDescent="0.2">
      <c r="A2682" t="str">
        <f>"02/11/2015"</f>
        <v>02/11/2015</v>
      </c>
      <c r="B2682">
        <v>1</v>
      </c>
      <c r="C2682">
        <v>51000</v>
      </c>
      <c r="D2682">
        <v>87989</v>
      </c>
      <c r="E2682">
        <v>51000</v>
      </c>
      <c r="F2682">
        <v>51000</v>
      </c>
      <c r="G2682" s="1">
        <v>1E-3</v>
      </c>
      <c r="H2682" s="1">
        <v>1E-3</v>
      </c>
      <c r="I2682" s="1">
        <v>1E-3</v>
      </c>
      <c r="J2682" s="1">
        <v>0.4708</v>
      </c>
    </row>
    <row r="2683" spans="1:10" x14ac:dyDescent="0.2">
      <c r="A2683" t="str">
        <f>"01/11/2015"</f>
        <v>01/11/2015</v>
      </c>
      <c r="B2683">
        <v>1</v>
      </c>
      <c r="C2683">
        <v>50000</v>
      </c>
      <c r="D2683">
        <v>71985</v>
      </c>
      <c r="E2683">
        <v>50000</v>
      </c>
      <c r="F2683">
        <v>50000</v>
      </c>
      <c r="G2683" s="1">
        <v>1E-3</v>
      </c>
      <c r="H2683" s="1">
        <v>1E-3</v>
      </c>
      <c r="I2683" s="1">
        <v>1E-3</v>
      </c>
      <c r="J2683" s="1">
        <v>0.59140000000000004</v>
      </c>
    </row>
    <row r="2684" spans="1:10" x14ac:dyDescent="0.2">
      <c r="A2684" t="str">
        <f>"29/10/2015"</f>
        <v>29/10/2015</v>
      </c>
      <c r="B2684">
        <v>3</v>
      </c>
      <c r="C2684">
        <v>42000</v>
      </c>
      <c r="D2684">
        <v>52918</v>
      </c>
      <c r="E2684">
        <v>42000</v>
      </c>
      <c r="F2684">
        <v>42000</v>
      </c>
      <c r="G2684" s="1">
        <v>1E-3</v>
      </c>
      <c r="H2684" s="1">
        <v>1E-3</v>
      </c>
      <c r="I2684" s="1">
        <v>1E-3</v>
      </c>
      <c r="J2684" s="1">
        <v>0.71350000000000002</v>
      </c>
    </row>
    <row r="2685" spans="1:10" x14ac:dyDescent="0.2">
      <c r="A2685" t="str">
        <f>"28/10/2015"</f>
        <v>28/10/2015</v>
      </c>
      <c r="B2685">
        <v>1</v>
      </c>
      <c r="C2685">
        <v>39000</v>
      </c>
      <c r="D2685">
        <v>36764</v>
      </c>
      <c r="E2685">
        <v>36764</v>
      </c>
      <c r="F2685">
        <v>36764</v>
      </c>
      <c r="G2685" s="1">
        <v>1E-3</v>
      </c>
      <c r="H2685" s="1">
        <v>8.9999999999999998E-4</v>
      </c>
      <c r="I2685" s="1">
        <v>8.9999999999999998E-4</v>
      </c>
      <c r="J2685" s="1">
        <v>1</v>
      </c>
    </row>
    <row r="2686" spans="1:10" x14ac:dyDescent="0.2">
      <c r="A2686" t="str">
        <f>"27/10/2015"</f>
        <v>27/10/2015</v>
      </c>
      <c r="B2686">
        <v>1</v>
      </c>
      <c r="C2686">
        <v>35000</v>
      </c>
      <c r="D2686">
        <v>50158</v>
      </c>
      <c r="E2686">
        <v>35000</v>
      </c>
      <c r="F2686">
        <v>35000</v>
      </c>
      <c r="G2686" s="1">
        <v>1E-3</v>
      </c>
      <c r="H2686" s="1">
        <v>8.9999999999999998E-4</v>
      </c>
      <c r="I2686" s="1">
        <v>8.9999999999999998E-4</v>
      </c>
      <c r="J2686" s="1">
        <v>0.51100000000000001</v>
      </c>
    </row>
    <row r="2687" spans="1:10" x14ac:dyDescent="0.2">
      <c r="A2687" t="str">
        <f>"26/10/2015"</f>
        <v>26/10/2015</v>
      </c>
      <c r="B2687">
        <v>1</v>
      </c>
      <c r="C2687">
        <v>35000</v>
      </c>
      <c r="D2687">
        <v>67041</v>
      </c>
      <c r="E2687">
        <v>35000</v>
      </c>
      <c r="F2687">
        <v>35000</v>
      </c>
      <c r="G2687" s="1">
        <v>1E-3</v>
      </c>
      <c r="H2687" s="1">
        <v>1E-3</v>
      </c>
      <c r="I2687" s="1">
        <v>1E-3</v>
      </c>
      <c r="J2687" s="1">
        <v>0.35399999999999998</v>
      </c>
    </row>
    <row r="2688" spans="1:10" x14ac:dyDescent="0.2">
      <c r="A2688" t="str">
        <f>"25/10/2015"</f>
        <v>25/10/2015</v>
      </c>
      <c r="B2688">
        <v>1</v>
      </c>
      <c r="C2688">
        <v>36000</v>
      </c>
      <c r="D2688">
        <v>70326</v>
      </c>
      <c r="E2688">
        <v>36000</v>
      </c>
      <c r="F2688">
        <v>36000</v>
      </c>
      <c r="G2688" s="1">
        <v>1E-3</v>
      </c>
      <c r="H2688" s="1">
        <v>8.9999999999999998E-4</v>
      </c>
      <c r="I2688" s="1">
        <v>8.9999999999999998E-4</v>
      </c>
      <c r="J2688" s="1">
        <v>0.33279999999999998</v>
      </c>
    </row>
    <row r="2689" spans="1:10" x14ac:dyDescent="0.2">
      <c r="A2689" t="str">
        <f>"22/10/2015"</f>
        <v>22/10/2015</v>
      </c>
      <c r="B2689">
        <v>3</v>
      </c>
      <c r="C2689">
        <v>37000</v>
      </c>
      <c r="D2689">
        <v>81386</v>
      </c>
      <c r="E2689">
        <v>37000</v>
      </c>
      <c r="F2689">
        <v>37000</v>
      </c>
      <c r="G2689" s="1">
        <v>1E-3</v>
      </c>
      <c r="H2689" s="1">
        <v>1E-3</v>
      </c>
      <c r="I2689" s="1">
        <v>1E-3</v>
      </c>
      <c r="J2689" s="1">
        <v>0.31440000000000001</v>
      </c>
    </row>
    <row r="2690" spans="1:10" x14ac:dyDescent="0.2">
      <c r="A2690" t="str">
        <f>"21/10/2015"</f>
        <v>21/10/2015</v>
      </c>
      <c r="B2690">
        <v>1</v>
      </c>
      <c r="C2690">
        <v>37000</v>
      </c>
      <c r="D2690">
        <v>96498</v>
      </c>
      <c r="E2690">
        <v>37000</v>
      </c>
      <c r="F2690">
        <v>37000</v>
      </c>
      <c r="G2690" s="1">
        <v>1E-3</v>
      </c>
      <c r="H2690" s="1">
        <v>1E-3</v>
      </c>
      <c r="I2690" s="1">
        <v>1E-3</v>
      </c>
      <c r="J2690" s="1">
        <v>0.25700000000000001</v>
      </c>
    </row>
    <row r="2691" spans="1:10" x14ac:dyDescent="0.2">
      <c r="A2691" t="str">
        <f>"20/10/2015"</f>
        <v>20/10/2015</v>
      </c>
      <c r="B2691">
        <v>1</v>
      </c>
      <c r="C2691">
        <v>36000</v>
      </c>
      <c r="D2691">
        <v>81998</v>
      </c>
      <c r="E2691">
        <v>36000</v>
      </c>
      <c r="F2691">
        <v>36000</v>
      </c>
      <c r="G2691" s="1">
        <v>1E-3</v>
      </c>
      <c r="H2691" s="1">
        <v>1E-3</v>
      </c>
      <c r="I2691" s="1">
        <v>1E-3</v>
      </c>
      <c r="J2691" s="1">
        <v>0.31240000000000001</v>
      </c>
    </row>
    <row r="2692" spans="1:10" x14ac:dyDescent="0.2">
      <c r="A2692" t="str">
        <f>"19/10/2015"</f>
        <v>19/10/2015</v>
      </c>
      <c r="B2692">
        <v>1</v>
      </c>
      <c r="C2692">
        <v>36000</v>
      </c>
      <c r="D2692">
        <v>66394</v>
      </c>
      <c r="E2692">
        <v>36000</v>
      </c>
      <c r="F2692">
        <v>36000</v>
      </c>
      <c r="G2692" s="1">
        <v>1E-3</v>
      </c>
      <c r="H2692" s="1">
        <v>1E-3</v>
      </c>
      <c r="I2692" s="1">
        <v>1E-3</v>
      </c>
      <c r="J2692" s="1">
        <v>0.41389999999999999</v>
      </c>
    </row>
    <row r="2693" spans="1:10" x14ac:dyDescent="0.2">
      <c r="A2693" t="str">
        <f>"18/10/2015"</f>
        <v>18/10/2015</v>
      </c>
      <c r="B2693">
        <v>1</v>
      </c>
      <c r="C2693">
        <v>37000</v>
      </c>
      <c r="D2693">
        <v>61461</v>
      </c>
      <c r="E2693">
        <v>37000</v>
      </c>
      <c r="F2693">
        <v>37000</v>
      </c>
      <c r="G2693" s="1">
        <v>1E-3</v>
      </c>
      <c r="H2693" s="1">
        <v>1E-3</v>
      </c>
      <c r="I2693" s="1">
        <v>1E-3</v>
      </c>
      <c r="J2693" s="1">
        <v>0.46129999999999999</v>
      </c>
    </row>
    <row r="2694" spans="1:10" x14ac:dyDescent="0.2">
      <c r="A2694" t="str">
        <f>"15/10/2015"</f>
        <v>15/10/2015</v>
      </c>
      <c r="B2694">
        <v>3</v>
      </c>
      <c r="C2694">
        <v>37000</v>
      </c>
      <c r="D2694">
        <v>58470</v>
      </c>
      <c r="E2694">
        <v>37000</v>
      </c>
      <c r="F2694">
        <v>37000</v>
      </c>
      <c r="G2694" s="1">
        <v>1E-3</v>
      </c>
      <c r="H2694" s="1">
        <v>1E-3</v>
      </c>
      <c r="I2694" s="1">
        <v>1E-3</v>
      </c>
      <c r="J2694" s="1">
        <v>0.51049999999999995</v>
      </c>
    </row>
    <row r="2695" spans="1:10" x14ac:dyDescent="0.2">
      <c r="A2695" t="str">
        <f>"15/10/2015"</f>
        <v>15/10/2015</v>
      </c>
      <c r="B2695">
        <v>1</v>
      </c>
      <c r="C2695">
        <v>9000</v>
      </c>
      <c r="D2695">
        <v>10980</v>
      </c>
      <c r="E2695">
        <v>9000</v>
      </c>
      <c r="F2695">
        <v>9000</v>
      </c>
      <c r="G2695" s="1">
        <v>1E-3</v>
      </c>
      <c r="H2695" s="1">
        <v>8.9999999999999998E-4</v>
      </c>
      <c r="I2695" s="1">
        <v>8.9999999999999998E-4</v>
      </c>
      <c r="J2695" s="1">
        <v>0.68969999999999998</v>
      </c>
    </row>
    <row r="2696" spans="1:10" x14ac:dyDescent="0.2">
      <c r="A2696" t="str">
        <f>"14/10/2015"</f>
        <v>14/10/2015</v>
      </c>
      <c r="B2696">
        <v>1</v>
      </c>
      <c r="C2696">
        <v>46000</v>
      </c>
      <c r="D2696">
        <v>60208</v>
      </c>
      <c r="E2696">
        <v>46000</v>
      </c>
      <c r="F2696">
        <v>46000</v>
      </c>
      <c r="G2696" s="1">
        <v>1E-3</v>
      </c>
      <c r="H2696" s="1">
        <v>1E-3</v>
      </c>
      <c r="I2696" s="1">
        <v>1E-3</v>
      </c>
      <c r="J2696" s="1">
        <v>0.67630000000000001</v>
      </c>
    </row>
    <row r="2697" spans="1:10" x14ac:dyDescent="0.2">
      <c r="A2697" t="str">
        <f>"13/10/2015"</f>
        <v>13/10/2015</v>
      </c>
      <c r="B2697">
        <v>1</v>
      </c>
      <c r="C2697">
        <v>47000</v>
      </c>
      <c r="D2697">
        <v>64292</v>
      </c>
      <c r="E2697">
        <v>47000</v>
      </c>
      <c r="F2697">
        <v>47000</v>
      </c>
      <c r="G2697" s="1">
        <v>1E-3</v>
      </c>
      <c r="H2697" s="1">
        <v>1E-3</v>
      </c>
      <c r="I2697" s="1">
        <v>1E-3</v>
      </c>
      <c r="J2697" s="1">
        <v>0.64029999999999998</v>
      </c>
    </row>
    <row r="2698" spans="1:10" x14ac:dyDescent="0.2">
      <c r="A2698" t="str">
        <f>"12/10/2015"</f>
        <v>12/10/2015</v>
      </c>
      <c r="B2698">
        <v>1</v>
      </c>
      <c r="C2698">
        <v>49000</v>
      </c>
      <c r="D2698">
        <v>62194</v>
      </c>
      <c r="E2698">
        <v>49000</v>
      </c>
      <c r="F2698">
        <v>49000</v>
      </c>
      <c r="G2698" s="1">
        <v>1E-3</v>
      </c>
      <c r="H2698" s="1">
        <v>1E-3</v>
      </c>
      <c r="I2698" s="1">
        <v>1E-3</v>
      </c>
      <c r="J2698" s="1">
        <v>0.71489999999999998</v>
      </c>
    </row>
    <row r="2699" spans="1:10" x14ac:dyDescent="0.2">
      <c r="A2699" t="str">
        <f>"11/10/2015"</f>
        <v>11/10/2015</v>
      </c>
      <c r="B2699">
        <v>1</v>
      </c>
      <c r="C2699">
        <v>49000</v>
      </c>
      <c r="D2699">
        <v>64632</v>
      </c>
      <c r="E2699">
        <v>49000</v>
      </c>
      <c r="F2699">
        <v>49000</v>
      </c>
      <c r="G2699" s="1">
        <v>1E-3</v>
      </c>
      <c r="H2699" s="1">
        <v>1E-3</v>
      </c>
      <c r="I2699" s="1">
        <v>1E-3</v>
      </c>
      <c r="J2699" s="1">
        <v>0.68420000000000003</v>
      </c>
    </row>
    <row r="2700" spans="1:10" x14ac:dyDescent="0.2">
      <c r="A2700" t="str">
        <f>"08/10/2015"</f>
        <v>08/10/2015</v>
      </c>
      <c r="B2700">
        <v>3</v>
      </c>
      <c r="C2700">
        <v>51000</v>
      </c>
      <c r="D2700">
        <v>69025</v>
      </c>
      <c r="E2700">
        <v>51000</v>
      </c>
      <c r="F2700">
        <v>51000</v>
      </c>
      <c r="G2700" s="1">
        <v>1E-3</v>
      </c>
      <c r="H2700" s="1">
        <v>1E-3</v>
      </c>
      <c r="I2700" s="1">
        <v>1E-3</v>
      </c>
      <c r="J2700" s="1">
        <v>0.6603</v>
      </c>
    </row>
    <row r="2701" spans="1:10" x14ac:dyDescent="0.2">
      <c r="A2701" t="str">
        <f>"07/10/2015"</f>
        <v>07/10/2015</v>
      </c>
      <c r="B2701">
        <v>1</v>
      </c>
      <c r="C2701">
        <v>50000</v>
      </c>
      <c r="D2701">
        <v>61209</v>
      </c>
      <c r="E2701">
        <v>50000</v>
      </c>
      <c r="F2701">
        <v>50000</v>
      </c>
      <c r="G2701" s="1">
        <v>1E-3</v>
      </c>
      <c r="H2701" s="1">
        <v>1E-3</v>
      </c>
      <c r="I2701" s="1">
        <v>1E-3</v>
      </c>
      <c r="J2701" s="1">
        <v>0.74719999999999998</v>
      </c>
    </row>
    <row r="2702" spans="1:10" x14ac:dyDescent="0.2">
      <c r="A2702" t="str">
        <f>"06/10/2015"</f>
        <v>06/10/2015</v>
      </c>
      <c r="B2702">
        <v>1</v>
      </c>
      <c r="C2702">
        <v>51000</v>
      </c>
      <c r="D2702">
        <v>61564</v>
      </c>
      <c r="E2702">
        <v>51000</v>
      </c>
      <c r="F2702">
        <v>51000</v>
      </c>
      <c r="G2702" s="1">
        <v>1E-3</v>
      </c>
      <c r="H2702" s="1">
        <v>1E-3</v>
      </c>
      <c r="I2702" s="1">
        <v>1E-3</v>
      </c>
      <c r="J2702" s="1">
        <v>0.77559999999999996</v>
      </c>
    </row>
    <row r="2703" spans="1:10" x14ac:dyDescent="0.2">
      <c r="A2703" t="str">
        <f>"01/10/2015"</f>
        <v>01/10/2015</v>
      </c>
      <c r="B2703">
        <v>5</v>
      </c>
      <c r="C2703">
        <v>49000</v>
      </c>
      <c r="D2703">
        <v>59030</v>
      </c>
      <c r="E2703">
        <v>49000</v>
      </c>
      <c r="F2703">
        <v>49000</v>
      </c>
      <c r="G2703" s="1">
        <v>1E-3</v>
      </c>
      <c r="H2703" s="1">
        <v>1E-3</v>
      </c>
      <c r="I2703" s="1">
        <v>1E-3</v>
      </c>
      <c r="J2703" s="1">
        <v>0.77170000000000005</v>
      </c>
    </row>
    <row r="2704" spans="1:10" x14ac:dyDescent="0.2">
      <c r="A2704" t="str">
        <f>"30/09/2015"</f>
        <v>30/09/2015</v>
      </c>
      <c r="B2704">
        <v>1</v>
      </c>
      <c r="C2704">
        <v>41000</v>
      </c>
      <c r="D2704">
        <v>36119</v>
      </c>
      <c r="E2704">
        <v>36119</v>
      </c>
      <c r="F2704">
        <v>36119</v>
      </c>
      <c r="G2704" s="1">
        <v>1E-3</v>
      </c>
      <c r="H2704" s="1">
        <v>8.9999999999999998E-4</v>
      </c>
      <c r="I2704" s="1">
        <v>8.9999999999999998E-4</v>
      </c>
      <c r="J2704" s="1">
        <v>1</v>
      </c>
    </row>
    <row r="2705" spans="1:10" x14ac:dyDescent="0.2">
      <c r="A2705" t="str">
        <f>"29/09/2015"</f>
        <v>29/09/2015</v>
      </c>
      <c r="B2705">
        <v>1</v>
      </c>
      <c r="C2705">
        <v>33000</v>
      </c>
      <c r="D2705">
        <v>24068</v>
      </c>
      <c r="E2705">
        <v>24068</v>
      </c>
      <c r="F2705">
        <v>24068</v>
      </c>
      <c r="G2705" s="1">
        <v>1E-3</v>
      </c>
      <c r="H2705" s="1">
        <v>8.9999999999999998E-4</v>
      </c>
      <c r="I2705" s="1">
        <v>8.9999999999999998E-4</v>
      </c>
      <c r="J2705" s="1">
        <v>1</v>
      </c>
    </row>
    <row r="2706" spans="1:10" x14ac:dyDescent="0.2">
      <c r="A2706" t="str">
        <f>"24/09/2015"</f>
        <v>24/09/2015</v>
      </c>
      <c r="B2706">
        <v>5</v>
      </c>
      <c r="C2706">
        <v>38000</v>
      </c>
      <c r="D2706">
        <v>44349</v>
      </c>
      <c r="E2706">
        <v>38000</v>
      </c>
      <c r="F2706">
        <v>38000</v>
      </c>
      <c r="G2706" s="1">
        <v>1E-3</v>
      </c>
      <c r="H2706" s="1">
        <v>8.9999999999999998E-4</v>
      </c>
      <c r="I2706" s="1">
        <v>8.9999999999999998E-4</v>
      </c>
      <c r="J2706" s="1">
        <v>0.73550000000000004</v>
      </c>
    </row>
    <row r="2707" spans="1:10" x14ac:dyDescent="0.2">
      <c r="A2707" t="str">
        <f>"21/09/2015"</f>
        <v>21/09/2015</v>
      </c>
      <c r="B2707">
        <v>3</v>
      </c>
      <c r="C2707">
        <v>43000</v>
      </c>
      <c r="D2707">
        <v>61650</v>
      </c>
      <c r="E2707">
        <v>43000</v>
      </c>
      <c r="F2707">
        <v>43000</v>
      </c>
      <c r="G2707" s="1">
        <v>1E-3</v>
      </c>
      <c r="H2707" s="1">
        <v>1E-3</v>
      </c>
      <c r="I2707" s="1">
        <v>1E-3</v>
      </c>
      <c r="J2707" s="1">
        <v>0.54710000000000003</v>
      </c>
    </row>
    <row r="2708" spans="1:10" x14ac:dyDescent="0.2">
      <c r="A2708" t="str">
        <f>"20/09/2015"</f>
        <v>20/09/2015</v>
      </c>
      <c r="B2708">
        <v>1</v>
      </c>
      <c r="C2708">
        <v>48000</v>
      </c>
      <c r="D2708">
        <v>89709</v>
      </c>
      <c r="E2708">
        <v>48000</v>
      </c>
      <c r="F2708">
        <v>48000</v>
      </c>
      <c r="G2708" s="1">
        <v>1E-3</v>
      </c>
      <c r="H2708" s="1">
        <v>1E-3</v>
      </c>
      <c r="I2708" s="1">
        <v>1E-3</v>
      </c>
      <c r="J2708" s="1">
        <v>0.43809999999999999</v>
      </c>
    </row>
    <row r="2709" spans="1:10" x14ac:dyDescent="0.2">
      <c r="A2709" t="str">
        <f>"17/09/2015"</f>
        <v>17/09/2015</v>
      </c>
      <c r="B2709">
        <v>3</v>
      </c>
      <c r="C2709">
        <v>51000</v>
      </c>
      <c r="D2709">
        <v>98835</v>
      </c>
      <c r="E2709">
        <v>51000</v>
      </c>
      <c r="F2709">
        <v>51000</v>
      </c>
      <c r="G2709" s="1">
        <v>1E-3</v>
      </c>
      <c r="H2709" s="1">
        <v>1E-3</v>
      </c>
      <c r="I2709" s="1">
        <v>1E-3</v>
      </c>
      <c r="J2709" s="1">
        <v>0.41699999999999998</v>
      </c>
    </row>
    <row r="2710" spans="1:10" x14ac:dyDescent="0.2">
      <c r="A2710" t="str">
        <f>"16/09/2015"</f>
        <v>16/09/2015</v>
      </c>
      <c r="B2710">
        <v>1</v>
      </c>
      <c r="C2710">
        <v>51000</v>
      </c>
      <c r="D2710">
        <v>111264</v>
      </c>
      <c r="E2710">
        <v>51000</v>
      </c>
      <c r="F2710">
        <v>51000</v>
      </c>
      <c r="G2710" s="1">
        <v>1E-3</v>
      </c>
      <c r="H2710" s="1">
        <v>1E-3</v>
      </c>
      <c r="I2710" s="1">
        <v>1E-3</v>
      </c>
      <c r="J2710" s="1">
        <v>0.35460000000000003</v>
      </c>
    </row>
    <row r="2711" spans="1:10" x14ac:dyDescent="0.2">
      <c r="A2711" t="str">
        <f>"10/09/2015"</f>
        <v>10/09/2015</v>
      </c>
      <c r="B2711">
        <v>6</v>
      </c>
      <c r="C2711">
        <v>53000</v>
      </c>
      <c r="D2711">
        <v>104689</v>
      </c>
      <c r="E2711">
        <v>53000</v>
      </c>
      <c r="F2711">
        <v>53000</v>
      </c>
      <c r="G2711" s="1">
        <v>1E-3</v>
      </c>
      <c r="H2711" s="1">
        <v>1E-3</v>
      </c>
      <c r="I2711" s="1">
        <v>1E-3</v>
      </c>
      <c r="J2711" s="1">
        <v>0.38240000000000002</v>
      </c>
    </row>
    <row r="2712" spans="1:10" x14ac:dyDescent="0.2">
      <c r="A2712" t="str">
        <f>"09/09/2015"</f>
        <v>09/09/2015</v>
      </c>
      <c r="B2712">
        <v>1</v>
      </c>
      <c r="C2712">
        <v>53000</v>
      </c>
      <c r="D2712">
        <v>117116</v>
      </c>
      <c r="E2712">
        <v>53000</v>
      </c>
      <c r="F2712">
        <v>53000</v>
      </c>
      <c r="G2712" s="1">
        <v>1E-3</v>
      </c>
      <c r="H2712" s="1">
        <v>1E-3</v>
      </c>
      <c r="I2712" s="1">
        <v>1E-3</v>
      </c>
      <c r="J2712" s="1">
        <v>0.33360000000000001</v>
      </c>
    </row>
    <row r="2713" spans="1:10" x14ac:dyDescent="0.2">
      <c r="A2713" t="str">
        <f>"08/09/2015"</f>
        <v>08/09/2015</v>
      </c>
      <c r="B2713">
        <v>1</v>
      </c>
      <c r="C2713">
        <v>53000</v>
      </c>
      <c r="D2713">
        <v>129518</v>
      </c>
      <c r="E2713">
        <v>53000</v>
      </c>
      <c r="F2713">
        <v>53000</v>
      </c>
      <c r="G2713" s="1">
        <v>1E-3</v>
      </c>
      <c r="H2713" s="1">
        <v>1E-3</v>
      </c>
      <c r="I2713" s="1">
        <v>1E-3</v>
      </c>
      <c r="J2713" s="1">
        <v>0.29670000000000002</v>
      </c>
    </row>
    <row r="2714" spans="1:10" x14ac:dyDescent="0.2">
      <c r="A2714" t="str">
        <f>"07/09/2015"</f>
        <v>07/09/2015</v>
      </c>
      <c r="B2714">
        <v>1</v>
      </c>
      <c r="C2714">
        <v>54000</v>
      </c>
      <c r="D2714">
        <v>129024</v>
      </c>
      <c r="E2714">
        <v>54000</v>
      </c>
      <c r="F2714">
        <v>54000</v>
      </c>
      <c r="G2714" s="1">
        <v>1E-3</v>
      </c>
      <c r="H2714" s="1">
        <v>1E-3</v>
      </c>
      <c r="I2714" s="1">
        <v>1E-3</v>
      </c>
      <c r="J2714" s="1">
        <v>0.30640000000000001</v>
      </c>
    </row>
    <row r="2715" spans="1:10" x14ac:dyDescent="0.2">
      <c r="A2715" t="str">
        <f>"06/09/2015"</f>
        <v>06/09/2015</v>
      </c>
      <c r="B2715">
        <v>1</v>
      </c>
      <c r="C2715">
        <v>53000</v>
      </c>
      <c r="D2715">
        <v>131760</v>
      </c>
      <c r="E2715">
        <v>53000</v>
      </c>
      <c r="F2715">
        <v>53000</v>
      </c>
      <c r="G2715" s="1">
        <v>1E-3</v>
      </c>
      <c r="H2715" s="1">
        <v>1E-3</v>
      </c>
      <c r="I2715" s="1">
        <v>1E-3</v>
      </c>
      <c r="J2715" s="1">
        <v>0.29110000000000003</v>
      </c>
    </row>
    <row r="2716" spans="1:10" x14ac:dyDescent="0.2">
      <c r="A2716" t="str">
        <f>"03/09/2015"</f>
        <v>03/09/2015</v>
      </c>
      <c r="B2716">
        <v>3</v>
      </c>
      <c r="C2716">
        <v>53000</v>
      </c>
      <c r="D2716">
        <v>125376</v>
      </c>
      <c r="E2716">
        <v>53000</v>
      </c>
      <c r="F2716">
        <v>53000</v>
      </c>
      <c r="G2716" s="1">
        <v>1E-3</v>
      </c>
      <c r="H2716" s="1">
        <v>1E-3</v>
      </c>
      <c r="I2716" s="1">
        <v>1E-3</v>
      </c>
      <c r="J2716" s="1">
        <v>0.309</v>
      </c>
    </row>
    <row r="2717" spans="1:10" x14ac:dyDescent="0.2">
      <c r="A2717" t="str">
        <f>"02/09/2015"</f>
        <v>02/09/2015</v>
      </c>
      <c r="B2717">
        <v>1</v>
      </c>
      <c r="C2717">
        <v>58000</v>
      </c>
      <c r="D2717">
        <v>129087</v>
      </c>
      <c r="E2717">
        <v>58000</v>
      </c>
      <c r="F2717">
        <v>58000</v>
      </c>
      <c r="G2717" s="1">
        <v>1E-3</v>
      </c>
      <c r="H2717" s="1">
        <v>1E-3</v>
      </c>
      <c r="I2717" s="1">
        <v>1E-3</v>
      </c>
      <c r="J2717" s="1">
        <v>0.31530000000000002</v>
      </c>
    </row>
    <row r="2718" spans="1:10" x14ac:dyDescent="0.2">
      <c r="A2718" t="str">
        <f>"01/09/2015"</f>
        <v>01/09/2015</v>
      </c>
      <c r="B2718">
        <v>1</v>
      </c>
      <c r="C2718">
        <v>53000</v>
      </c>
      <c r="D2718">
        <v>109206</v>
      </c>
      <c r="E2718">
        <v>53000</v>
      </c>
      <c r="F2718">
        <v>53000</v>
      </c>
      <c r="G2718" s="1">
        <v>1E-3</v>
      </c>
      <c r="H2718" s="1">
        <v>1E-3</v>
      </c>
      <c r="I2718" s="1">
        <v>1E-3</v>
      </c>
      <c r="J2718" s="1">
        <v>0.37019999999999997</v>
      </c>
    </row>
    <row r="2719" spans="1:10" x14ac:dyDescent="0.2">
      <c r="A2719" t="str">
        <f>"31/08/2015"</f>
        <v>31/08/2015</v>
      </c>
      <c r="B2719">
        <v>1</v>
      </c>
      <c r="C2719">
        <v>46000</v>
      </c>
      <c r="D2719">
        <v>87017</v>
      </c>
      <c r="E2719">
        <v>46000</v>
      </c>
      <c r="F2719">
        <v>46000</v>
      </c>
      <c r="G2719" s="1">
        <v>1E-3</v>
      </c>
      <c r="H2719" s="1">
        <v>1E-3</v>
      </c>
      <c r="I2719" s="1">
        <v>1E-3</v>
      </c>
      <c r="J2719" s="1">
        <v>0.40670000000000001</v>
      </c>
    </row>
    <row r="2720" spans="1:10" x14ac:dyDescent="0.2">
      <c r="A2720" t="str">
        <f>"30/08/2015"</f>
        <v>30/08/2015</v>
      </c>
      <c r="B2720">
        <v>1</v>
      </c>
      <c r="C2720">
        <v>44000</v>
      </c>
      <c r="D2720">
        <v>70232</v>
      </c>
      <c r="E2720">
        <v>44000</v>
      </c>
      <c r="F2720">
        <v>44000</v>
      </c>
      <c r="G2720" s="1">
        <v>1E-3</v>
      </c>
      <c r="H2720" s="1">
        <v>1E-3</v>
      </c>
      <c r="I2720" s="1">
        <v>1E-3</v>
      </c>
      <c r="J2720" s="1">
        <v>0.50509999999999999</v>
      </c>
    </row>
    <row r="2721" spans="1:10" x14ac:dyDescent="0.2">
      <c r="A2721" t="str">
        <f>"27/08/2015"</f>
        <v>27/08/2015</v>
      </c>
      <c r="B2721">
        <v>3</v>
      </c>
      <c r="C2721">
        <v>43000</v>
      </c>
      <c r="D2721">
        <v>53408</v>
      </c>
      <c r="E2721">
        <v>43000</v>
      </c>
      <c r="F2721">
        <v>43000</v>
      </c>
      <c r="G2721" s="1">
        <v>1E-3</v>
      </c>
      <c r="H2721" s="1">
        <v>1E-3</v>
      </c>
      <c r="I2721" s="1">
        <v>1E-3</v>
      </c>
      <c r="J2721" s="1">
        <v>0.72060000000000002</v>
      </c>
    </row>
    <row r="2722" spans="1:10" x14ac:dyDescent="0.2">
      <c r="A2722" t="str">
        <f>"26/08/2015"</f>
        <v>26/08/2015</v>
      </c>
      <c r="B2722">
        <v>1</v>
      </c>
      <c r="C2722">
        <v>39000</v>
      </c>
      <c r="D2722">
        <v>30754</v>
      </c>
      <c r="E2722">
        <v>30754</v>
      </c>
      <c r="F2722">
        <v>30754</v>
      </c>
      <c r="G2722" s="1">
        <v>1E-3</v>
      </c>
      <c r="H2722" s="1">
        <v>8.9999999999999998E-4</v>
      </c>
      <c r="I2722" s="1">
        <v>8.9999999999999998E-4</v>
      </c>
      <c r="J2722" s="1">
        <v>1</v>
      </c>
    </row>
    <row r="2723" spans="1:10" x14ac:dyDescent="0.2">
      <c r="A2723" t="str">
        <f>"25/08/2015"</f>
        <v>25/08/2015</v>
      </c>
      <c r="B2723">
        <v>1</v>
      </c>
      <c r="C2723">
        <v>38000</v>
      </c>
      <c r="D2723">
        <v>42364</v>
      </c>
      <c r="E2723">
        <v>38000</v>
      </c>
      <c r="F2723">
        <v>38000</v>
      </c>
      <c r="G2723" s="1">
        <v>1E-3</v>
      </c>
      <c r="H2723" s="1">
        <v>8.9999999999999998E-4</v>
      </c>
      <c r="I2723" s="1">
        <v>8.9999999999999998E-4</v>
      </c>
      <c r="J2723" s="1">
        <v>0.80159999999999998</v>
      </c>
    </row>
    <row r="2724" spans="1:10" x14ac:dyDescent="0.2">
      <c r="A2724" t="str">
        <f>"24/08/2015"</f>
        <v>24/08/2015</v>
      </c>
      <c r="B2724">
        <v>1</v>
      </c>
      <c r="C2724">
        <v>38000</v>
      </c>
      <c r="D2724">
        <v>64069</v>
      </c>
      <c r="E2724">
        <v>38000</v>
      </c>
      <c r="F2724">
        <v>38000</v>
      </c>
      <c r="G2724" s="1">
        <v>1E-3</v>
      </c>
      <c r="H2724" s="1">
        <v>1E-3</v>
      </c>
      <c r="I2724" s="1">
        <v>1E-3</v>
      </c>
      <c r="J2724" s="1">
        <v>0.47339999999999999</v>
      </c>
    </row>
    <row r="2725" spans="1:10" x14ac:dyDescent="0.2">
      <c r="A2725" t="str">
        <f>"23/08/2015"</f>
        <v>23/08/2015</v>
      </c>
      <c r="B2725">
        <v>1</v>
      </c>
      <c r="C2725">
        <v>40000</v>
      </c>
      <c r="D2725">
        <v>92955</v>
      </c>
      <c r="E2725">
        <v>40000</v>
      </c>
      <c r="F2725">
        <v>40000</v>
      </c>
      <c r="G2725" s="1">
        <v>1E-3</v>
      </c>
      <c r="H2725" s="1">
        <v>1E-3</v>
      </c>
      <c r="I2725" s="1">
        <v>1E-3</v>
      </c>
      <c r="J2725" s="1">
        <v>0.33389999999999997</v>
      </c>
    </row>
    <row r="2726" spans="1:10" x14ac:dyDescent="0.2">
      <c r="A2726" t="str">
        <f>"20/08/2015"</f>
        <v>20/08/2015</v>
      </c>
      <c r="B2726">
        <v>3</v>
      </c>
      <c r="C2726">
        <v>41000</v>
      </c>
      <c r="D2726">
        <v>114510</v>
      </c>
      <c r="E2726">
        <v>41000</v>
      </c>
      <c r="F2726">
        <v>41000</v>
      </c>
      <c r="G2726" s="1">
        <v>1E-3</v>
      </c>
      <c r="H2726" s="1">
        <v>1E-3</v>
      </c>
      <c r="I2726" s="1">
        <v>1E-3</v>
      </c>
      <c r="J2726" s="1">
        <v>0.26400000000000001</v>
      </c>
    </row>
    <row r="2727" spans="1:10" x14ac:dyDescent="0.2">
      <c r="A2727" t="str">
        <f>"19/08/2015"</f>
        <v>19/08/2015</v>
      </c>
      <c r="B2727">
        <v>1</v>
      </c>
      <c r="C2727">
        <v>38000</v>
      </c>
      <c r="D2727">
        <v>117296</v>
      </c>
      <c r="E2727">
        <v>38000</v>
      </c>
      <c r="F2727">
        <v>38000</v>
      </c>
      <c r="G2727" s="1">
        <v>1E-3</v>
      </c>
      <c r="H2727" s="1">
        <v>1E-3</v>
      </c>
      <c r="I2727" s="1">
        <v>1E-3</v>
      </c>
      <c r="J2727" s="1">
        <v>0.2208</v>
      </c>
    </row>
    <row r="2728" spans="1:10" x14ac:dyDescent="0.2">
      <c r="A2728" t="str">
        <f>"18/08/2015"</f>
        <v>18/08/2015</v>
      </c>
      <c r="B2728">
        <v>1</v>
      </c>
      <c r="C2728">
        <v>39000</v>
      </c>
      <c r="D2728">
        <v>120092</v>
      </c>
      <c r="E2728">
        <v>39000</v>
      </c>
      <c r="F2728">
        <v>39000</v>
      </c>
      <c r="G2728" s="1">
        <v>1E-3</v>
      </c>
      <c r="H2728" s="1">
        <v>1E-3</v>
      </c>
      <c r="I2728" s="1">
        <v>1E-3</v>
      </c>
      <c r="J2728" s="1">
        <v>0.221</v>
      </c>
    </row>
    <row r="2729" spans="1:10" x14ac:dyDescent="0.2">
      <c r="A2729" t="str">
        <f>"17/08/2015"</f>
        <v>17/08/2015</v>
      </c>
      <c r="B2729">
        <v>1</v>
      </c>
      <c r="C2729">
        <v>40000</v>
      </c>
      <c r="D2729">
        <v>123652</v>
      </c>
      <c r="E2729">
        <v>40000</v>
      </c>
      <c r="F2729">
        <v>40000</v>
      </c>
      <c r="G2729" s="1">
        <v>1E-3</v>
      </c>
      <c r="H2729" s="1">
        <v>1E-3</v>
      </c>
      <c r="I2729" s="1">
        <v>1E-3</v>
      </c>
      <c r="J2729" s="1">
        <v>0.21010000000000001</v>
      </c>
    </row>
    <row r="2730" spans="1:10" x14ac:dyDescent="0.2">
      <c r="A2730" t="str">
        <f>"16/08/2015"</f>
        <v>16/08/2015</v>
      </c>
      <c r="B2730">
        <v>1</v>
      </c>
      <c r="C2730">
        <v>48000</v>
      </c>
      <c r="D2730">
        <v>143996</v>
      </c>
      <c r="E2730">
        <v>48000</v>
      </c>
      <c r="F2730">
        <v>48000</v>
      </c>
      <c r="G2730" s="1">
        <v>1E-3</v>
      </c>
      <c r="H2730" s="1">
        <v>1E-3</v>
      </c>
      <c r="I2730" s="1">
        <v>1E-3</v>
      </c>
      <c r="J2730" s="1">
        <v>0.22489999999999999</v>
      </c>
    </row>
    <row r="2731" spans="1:10" x14ac:dyDescent="0.2">
      <c r="A2731" t="str">
        <f>"13/08/2015"</f>
        <v>13/08/2015</v>
      </c>
      <c r="B2731">
        <v>3</v>
      </c>
      <c r="C2731">
        <v>51000</v>
      </c>
      <c r="D2731">
        <v>147102</v>
      </c>
      <c r="E2731">
        <v>51000</v>
      </c>
      <c r="F2731">
        <v>51000</v>
      </c>
      <c r="G2731" s="1">
        <v>1E-3</v>
      </c>
      <c r="H2731" s="1">
        <v>1E-3</v>
      </c>
      <c r="I2731" s="1">
        <v>1E-3</v>
      </c>
      <c r="J2731" s="1">
        <v>0.25469999999999998</v>
      </c>
    </row>
    <row r="2732" spans="1:10" x14ac:dyDescent="0.2">
      <c r="A2732" t="str">
        <f>"12/08/2015"</f>
        <v>12/08/2015</v>
      </c>
      <c r="B2732">
        <v>1</v>
      </c>
      <c r="C2732">
        <v>53000</v>
      </c>
      <c r="D2732">
        <v>156373</v>
      </c>
      <c r="E2732">
        <v>53000</v>
      </c>
      <c r="F2732">
        <v>53000</v>
      </c>
      <c r="G2732" s="1">
        <v>1E-3</v>
      </c>
      <c r="H2732" s="1">
        <v>1E-3</v>
      </c>
      <c r="I2732" s="1">
        <v>1E-3</v>
      </c>
      <c r="J2732" s="1">
        <v>0.25059999999999999</v>
      </c>
    </row>
    <row r="2733" spans="1:10" x14ac:dyDescent="0.2">
      <c r="A2733" t="str">
        <f>"11/08/2015"</f>
        <v>11/08/2015</v>
      </c>
      <c r="B2733">
        <v>1</v>
      </c>
      <c r="C2733">
        <v>53000</v>
      </c>
      <c r="D2733">
        <v>155340</v>
      </c>
      <c r="E2733">
        <v>53000</v>
      </c>
      <c r="F2733">
        <v>53000</v>
      </c>
      <c r="G2733" s="1">
        <v>1E-3</v>
      </c>
      <c r="H2733" s="1">
        <v>1E-3</v>
      </c>
      <c r="I2733" s="1">
        <v>1E-3</v>
      </c>
      <c r="J2733" s="1">
        <v>0.24279999999999999</v>
      </c>
    </row>
    <row r="2734" spans="1:10" x14ac:dyDescent="0.2">
      <c r="A2734" t="str">
        <f>"10/08/2015"</f>
        <v>10/08/2015</v>
      </c>
      <c r="B2734">
        <v>1</v>
      </c>
      <c r="C2734">
        <v>53000</v>
      </c>
      <c r="D2734">
        <v>158721</v>
      </c>
      <c r="E2734">
        <v>53000</v>
      </c>
      <c r="F2734">
        <v>53000</v>
      </c>
      <c r="G2734" s="1">
        <v>1E-3</v>
      </c>
      <c r="H2734" s="1">
        <v>1E-3</v>
      </c>
      <c r="I2734" s="1">
        <v>1E-3</v>
      </c>
      <c r="J2734" s="1">
        <v>0.2384</v>
      </c>
    </row>
    <row r="2735" spans="1:10" x14ac:dyDescent="0.2">
      <c r="A2735" t="str">
        <f>"09/08/2015"</f>
        <v>09/08/2015</v>
      </c>
      <c r="B2735">
        <v>1</v>
      </c>
      <c r="C2735">
        <v>53000</v>
      </c>
      <c r="D2735">
        <v>143023</v>
      </c>
      <c r="E2735">
        <v>53000</v>
      </c>
      <c r="F2735">
        <v>53000</v>
      </c>
      <c r="G2735" s="1">
        <v>1E-3</v>
      </c>
      <c r="H2735" s="1">
        <v>1E-3</v>
      </c>
      <c r="I2735" s="1">
        <v>1E-3</v>
      </c>
      <c r="J2735" s="1">
        <v>0.26950000000000002</v>
      </c>
    </row>
    <row r="2736" spans="1:10" x14ac:dyDescent="0.2">
      <c r="A2736" t="str">
        <f>"06/08/2015"</f>
        <v>06/08/2015</v>
      </c>
      <c r="B2736">
        <v>3</v>
      </c>
      <c r="C2736">
        <v>52000</v>
      </c>
      <c r="D2736">
        <v>126290</v>
      </c>
      <c r="E2736">
        <v>52000</v>
      </c>
      <c r="F2736">
        <v>52000</v>
      </c>
      <c r="G2736" s="1">
        <v>1E-3</v>
      </c>
      <c r="H2736" s="1">
        <v>1E-3</v>
      </c>
      <c r="I2736" s="1">
        <v>1E-3</v>
      </c>
      <c r="J2736" s="1">
        <v>0.30370000000000003</v>
      </c>
    </row>
    <row r="2737" spans="1:10" x14ac:dyDescent="0.2">
      <c r="A2737" t="str">
        <f>"05/08/2015"</f>
        <v>05/08/2015</v>
      </c>
      <c r="B2737">
        <v>1</v>
      </c>
      <c r="C2737">
        <v>49000</v>
      </c>
      <c r="D2737">
        <v>115835</v>
      </c>
      <c r="E2737">
        <v>49000</v>
      </c>
      <c r="F2737">
        <v>49000</v>
      </c>
      <c r="G2737" s="1">
        <v>1E-3</v>
      </c>
      <c r="H2737" s="1">
        <v>1E-3</v>
      </c>
      <c r="I2737" s="1">
        <v>1E-3</v>
      </c>
      <c r="J2737" s="1">
        <v>0.30709999999999998</v>
      </c>
    </row>
    <row r="2738" spans="1:10" x14ac:dyDescent="0.2">
      <c r="A2738" t="str">
        <f>"04/08/2015"</f>
        <v>04/08/2015</v>
      </c>
      <c r="B2738">
        <v>1</v>
      </c>
      <c r="C2738">
        <v>48000</v>
      </c>
      <c r="D2738">
        <v>98180</v>
      </c>
      <c r="E2738">
        <v>48000</v>
      </c>
      <c r="F2738">
        <v>48000</v>
      </c>
      <c r="G2738" s="1">
        <v>1E-3</v>
      </c>
      <c r="H2738" s="1">
        <v>1E-3</v>
      </c>
      <c r="I2738" s="1">
        <v>1E-3</v>
      </c>
      <c r="J2738" s="1">
        <v>0.37580000000000002</v>
      </c>
    </row>
    <row r="2739" spans="1:10" x14ac:dyDescent="0.2">
      <c r="A2739" t="str">
        <f>"03/08/2015"</f>
        <v>03/08/2015</v>
      </c>
      <c r="B2739">
        <v>1</v>
      </c>
      <c r="C2739">
        <v>48000</v>
      </c>
      <c r="D2739">
        <v>88239</v>
      </c>
      <c r="E2739">
        <v>48000</v>
      </c>
      <c r="F2739">
        <v>48000</v>
      </c>
      <c r="G2739" s="1">
        <v>1E-3</v>
      </c>
      <c r="H2739" s="1">
        <v>1E-3</v>
      </c>
      <c r="I2739" s="1">
        <v>1E-3</v>
      </c>
      <c r="J2739" s="1">
        <v>0.4335</v>
      </c>
    </row>
    <row r="2740" spans="1:10" x14ac:dyDescent="0.2">
      <c r="A2740" t="str">
        <f>"02/08/2015"</f>
        <v>02/08/2015</v>
      </c>
      <c r="B2740">
        <v>1</v>
      </c>
      <c r="C2740">
        <v>45000</v>
      </c>
      <c r="D2740">
        <v>66410</v>
      </c>
      <c r="E2740">
        <v>45000</v>
      </c>
      <c r="F2740">
        <v>45000</v>
      </c>
      <c r="G2740" s="1">
        <v>1E-3</v>
      </c>
      <c r="H2740" s="1">
        <v>1E-3</v>
      </c>
      <c r="I2740" s="1">
        <v>1E-3</v>
      </c>
      <c r="J2740" s="1">
        <v>0.58350000000000002</v>
      </c>
    </row>
    <row r="2741" spans="1:10" x14ac:dyDescent="0.2">
      <c r="A2741" t="str">
        <f>"30/07/2015"</f>
        <v>30/07/2015</v>
      </c>
      <c r="B2741">
        <v>3</v>
      </c>
      <c r="C2741">
        <v>40000</v>
      </c>
      <c r="D2741">
        <v>45385</v>
      </c>
      <c r="E2741">
        <v>40000</v>
      </c>
      <c r="F2741">
        <v>40000</v>
      </c>
      <c r="G2741" s="1">
        <v>1E-3</v>
      </c>
      <c r="H2741" s="1">
        <v>1E-3</v>
      </c>
      <c r="I2741" s="1">
        <v>1E-3</v>
      </c>
      <c r="J2741" s="1">
        <v>0.84030000000000005</v>
      </c>
    </row>
    <row r="2742" spans="1:10" x14ac:dyDescent="0.2">
      <c r="A2742" t="str">
        <f>"29/07/2015"</f>
        <v>29/07/2015</v>
      </c>
      <c r="B2742">
        <v>1</v>
      </c>
      <c r="C2742">
        <v>35000</v>
      </c>
      <c r="D2742">
        <v>32790</v>
      </c>
      <c r="E2742">
        <v>32790</v>
      </c>
      <c r="F2742">
        <v>32790</v>
      </c>
      <c r="G2742" s="1">
        <v>1E-3</v>
      </c>
      <c r="H2742" s="1">
        <v>8.9999999999999998E-4</v>
      </c>
      <c r="I2742" s="1">
        <v>8.9999999999999998E-4</v>
      </c>
      <c r="J2742" s="1">
        <v>1</v>
      </c>
    </row>
    <row r="2743" spans="1:10" x14ac:dyDescent="0.2">
      <c r="A2743" t="str">
        <f>"28/07/2015"</f>
        <v>28/07/2015</v>
      </c>
      <c r="B2743">
        <v>1</v>
      </c>
      <c r="C2743">
        <v>36000</v>
      </c>
      <c r="D2743">
        <v>45045</v>
      </c>
      <c r="E2743">
        <v>36000</v>
      </c>
      <c r="F2743">
        <v>36000</v>
      </c>
      <c r="G2743" s="1">
        <v>1E-3</v>
      </c>
      <c r="H2743" s="1">
        <v>8.9999999999999998E-4</v>
      </c>
      <c r="I2743" s="1">
        <v>8.9999999999999998E-4</v>
      </c>
      <c r="J2743" s="1">
        <v>0.66500000000000004</v>
      </c>
    </row>
    <row r="2744" spans="1:10" x14ac:dyDescent="0.2">
      <c r="A2744" t="str">
        <f>"27/07/2015"</f>
        <v>27/07/2015</v>
      </c>
      <c r="B2744">
        <v>1</v>
      </c>
      <c r="C2744">
        <v>34000</v>
      </c>
      <c r="D2744">
        <v>62194</v>
      </c>
      <c r="E2744">
        <v>34000</v>
      </c>
      <c r="F2744">
        <v>34000</v>
      </c>
      <c r="G2744" s="1">
        <v>1E-3</v>
      </c>
      <c r="H2744" s="1">
        <v>8.9999999999999998E-4</v>
      </c>
      <c r="I2744" s="1">
        <v>8.9999999999999998E-4</v>
      </c>
      <c r="J2744" s="1">
        <v>0.35220000000000001</v>
      </c>
    </row>
    <row r="2745" spans="1:10" x14ac:dyDescent="0.2">
      <c r="A2745" t="str">
        <f>"23/07/2015"</f>
        <v>23/07/2015</v>
      </c>
      <c r="B2745">
        <v>4</v>
      </c>
      <c r="C2745">
        <v>40000</v>
      </c>
      <c r="D2745">
        <v>83530</v>
      </c>
      <c r="E2745">
        <v>40000</v>
      </c>
      <c r="F2745">
        <v>40000</v>
      </c>
      <c r="G2745" s="1">
        <v>1E-3</v>
      </c>
      <c r="H2745" s="1">
        <v>1E-3</v>
      </c>
      <c r="I2745" s="1">
        <v>1E-3</v>
      </c>
      <c r="J2745" s="1">
        <v>0.37209999999999999</v>
      </c>
    </row>
    <row r="2746" spans="1:10" x14ac:dyDescent="0.2">
      <c r="A2746" t="str">
        <f>"22/07/2015"</f>
        <v>22/07/2015</v>
      </c>
      <c r="B2746">
        <v>1</v>
      </c>
      <c r="C2746">
        <v>33000</v>
      </c>
      <c r="D2746">
        <v>72057</v>
      </c>
      <c r="E2746">
        <v>33000</v>
      </c>
      <c r="F2746">
        <v>33000</v>
      </c>
      <c r="G2746" s="1">
        <v>1E-3</v>
      </c>
      <c r="H2746" s="1">
        <v>1E-3</v>
      </c>
      <c r="I2746" s="1">
        <v>1E-3</v>
      </c>
      <c r="J2746" s="1">
        <v>0.34610000000000002</v>
      </c>
    </row>
    <row r="2747" spans="1:10" x14ac:dyDescent="0.2">
      <c r="A2747" t="str">
        <f>"21/07/2015"</f>
        <v>21/07/2015</v>
      </c>
      <c r="B2747">
        <v>1</v>
      </c>
      <c r="C2747">
        <v>34000</v>
      </c>
      <c r="D2747">
        <v>72043</v>
      </c>
      <c r="E2747">
        <v>34000</v>
      </c>
      <c r="F2747">
        <v>34000</v>
      </c>
      <c r="G2747" s="1">
        <v>1E-3</v>
      </c>
      <c r="H2747" s="1">
        <v>1E-3</v>
      </c>
      <c r="I2747" s="1">
        <v>1E-3</v>
      </c>
      <c r="J2747" s="1">
        <v>0.35899999999999999</v>
      </c>
    </row>
    <row r="2748" spans="1:10" x14ac:dyDescent="0.2">
      <c r="A2748" t="str">
        <f>"20/07/2015"</f>
        <v>20/07/2015</v>
      </c>
      <c r="B2748">
        <v>1</v>
      </c>
      <c r="C2748">
        <v>35000</v>
      </c>
      <c r="D2748">
        <v>65620</v>
      </c>
      <c r="E2748">
        <v>35000</v>
      </c>
      <c r="F2748">
        <v>35000</v>
      </c>
      <c r="G2748" s="1">
        <v>1E-3</v>
      </c>
      <c r="H2748" s="1">
        <v>1E-3</v>
      </c>
      <c r="I2748" s="1">
        <v>1E-3</v>
      </c>
      <c r="J2748" s="1">
        <v>0.4123</v>
      </c>
    </row>
    <row r="2749" spans="1:10" x14ac:dyDescent="0.2">
      <c r="A2749" t="str">
        <f>"19/07/2015"</f>
        <v>19/07/2015</v>
      </c>
      <c r="B2749">
        <v>1</v>
      </c>
      <c r="C2749">
        <v>37000</v>
      </c>
      <c r="D2749">
        <v>66825</v>
      </c>
      <c r="E2749">
        <v>37000</v>
      </c>
      <c r="F2749">
        <v>37000</v>
      </c>
      <c r="G2749" s="1">
        <v>1E-3</v>
      </c>
      <c r="H2749" s="1">
        <v>1E-3</v>
      </c>
      <c r="I2749" s="1">
        <v>1E-3</v>
      </c>
      <c r="J2749" s="1">
        <v>0.43180000000000002</v>
      </c>
    </row>
    <row r="2750" spans="1:10" x14ac:dyDescent="0.2">
      <c r="A2750" t="str">
        <f>"16/07/2015"</f>
        <v>16/07/2015</v>
      </c>
      <c r="B2750">
        <v>3</v>
      </c>
      <c r="C2750">
        <v>40000</v>
      </c>
      <c r="D2750">
        <v>86969</v>
      </c>
      <c r="E2750">
        <v>40000</v>
      </c>
      <c r="F2750">
        <v>40000</v>
      </c>
      <c r="G2750" s="1">
        <v>1E-3</v>
      </c>
      <c r="H2750" s="1">
        <v>1E-3</v>
      </c>
      <c r="I2750" s="1">
        <v>1E-3</v>
      </c>
      <c r="J2750" s="1">
        <v>0.3412</v>
      </c>
    </row>
    <row r="2751" spans="1:10" x14ac:dyDescent="0.2">
      <c r="A2751" t="str">
        <f>"15/07/2015"</f>
        <v>15/07/2015</v>
      </c>
      <c r="B2751">
        <v>1</v>
      </c>
      <c r="C2751">
        <v>53000</v>
      </c>
      <c r="D2751">
        <v>113729</v>
      </c>
      <c r="E2751">
        <v>53000</v>
      </c>
      <c r="F2751">
        <v>53000</v>
      </c>
      <c r="G2751" s="1">
        <v>1E-3</v>
      </c>
      <c r="H2751" s="1">
        <v>1E-3</v>
      </c>
      <c r="I2751" s="1">
        <v>1E-3</v>
      </c>
      <c r="J2751" s="1">
        <v>0.36249999999999999</v>
      </c>
    </row>
    <row r="2752" spans="1:10" x14ac:dyDescent="0.2">
      <c r="A2752" t="str">
        <f>"14/07/2015"</f>
        <v>14/07/2015</v>
      </c>
      <c r="B2752">
        <v>1</v>
      </c>
      <c r="C2752">
        <v>53000</v>
      </c>
      <c r="D2752">
        <v>121345</v>
      </c>
      <c r="E2752">
        <v>53000</v>
      </c>
      <c r="F2752">
        <v>53000</v>
      </c>
      <c r="G2752" s="1">
        <v>1E-3</v>
      </c>
      <c r="H2752" s="1">
        <v>1E-3</v>
      </c>
      <c r="I2752" s="1">
        <v>1E-3</v>
      </c>
      <c r="J2752" s="1">
        <v>0.34699999999999998</v>
      </c>
    </row>
    <row r="2753" spans="1:10" x14ac:dyDescent="0.2">
      <c r="A2753" t="str">
        <f>"13/07/2015"</f>
        <v>13/07/2015</v>
      </c>
      <c r="B2753">
        <v>1</v>
      </c>
      <c r="C2753">
        <v>53000</v>
      </c>
      <c r="D2753">
        <v>115178</v>
      </c>
      <c r="E2753">
        <v>53000</v>
      </c>
      <c r="F2753">
        <v>53000</v>
      </c>
      <c r="G2753" s="1">
        <v>1E-3</v>
      </c>
      <c r="H2753" s="1">
        <v>1E-3</v>
      </c>
      <c r="I2753" s="1">
        <v>1E-3</v>
      </c>
      <c r="J2753" s="1">
        <v>0.36720000000000003</v>
      </c>
    </row>
    <row r="2754" spans="1:10" x14ac:dyDescent="0.2">
      <c r="A2754" t="str">
        <f>"12/07/2015"</f>
        <v>12/07/2015</v>
      </c>
      <c r="B2754">
        <v>1</v>
      </c>
      <c r="C2754">
        <v>53000</v>
      </c>
      <c r="D2754">
        <v>115646</v>
      </c>
      <c r="E2754">
        <v>53000</v>
      </c>
      <c r="F2754">
        <v>53000</v>
      </c>
      <c r="G2754" s="1">
        <v>1E-3</v>
      </c>
      <c r="H2754" s="1">
        <v>1E-3</v>
      </c>
      <c r="I2754" s="1">
        <v>1E-3</v>
      </c>
      <c r="J2754" s="1">
        <v>0.36630000000000001</v>
      </c>
    </row>
    <row r="2755" spans="1:10" x14ac:dyDescent="0.2">
      <c r="A2755" t="str">
        <f>"09/07/2015"</f>
        <v>09/07/2015</v>
      </c>
      <c r="B2755">
        <v>3</v>
      </c>
      <c r="C2755">
        <v>53000</v>
      </c>
      <c r="D2755">
        <v>127175</v>
      </c>
      <c r="E2755">
        <v>53000</v>
      </c>
      <c r="F2755">
        <v>53000</v>
      </c>
      <c r="G2755" s="1">
        <v>1E-3</v>
      </c>
      <c r="H2755" s="1">
        <v>1E-3</v>
      </c>
      <c r="I2755" s="1">
        <v>1E-3</v>
      </c>
      <c r="J2755" s="1">
        <v>0.32919999999999999</v>
      </c>
    </row>
    <row r="2756" spans="1:10" x14ac:dyDescent="0.2">
      <c r="A2756" t="str">
        <f>"08/07/2015"</f>
        <v>08/07/2015</v>
      </c>
      <c r="B2756">
        <v>1</v>
      </c>
      <c r="C2756">
        <v>52000</v>
      </c>
      <c r="D2756">
        <v>122038</v>
      </c>
      <c r="E2756">
        <v>52000</v>
      </c>
      <c r="F2756">
        <v>52000</v>
      </c>
      <c r="G2756" s="1">
        <v>1E-3</v>
      </c>
      <c r="H2756" s="1">
        <v>1E-3</v>
      </c>
      <c r="I2756" s="1">
        <v>1E-3</v>
      </c>
      <c r="J2756" s="1">
        <v>0.31840000000000002</v>
      </c>
    </row>
    <row r="2757" spans="1:10" x14ac:dyDescent="0.2">
      <c r="A2757" t="str">
        <f>"07/07/2015"</f>
        <v>07/07/2015</v>
      </c>
      <c r="B2757">
        <v>1</v>
      </c>
      <c r="C2757">
        <v>50000</v>
      </c>
      <c r="D2757">
        <v>145520</v>
      </c>
      <c r="E2757">
        <v>50000</v>
      </c>
      <c r="F2757">
        <v>50000</v>
      </c>
      <c r="G2757" s="1">
        <v>1E-3</v>
      </c>
      <c r="H2757" s="1">
        <v>1E-3</v>
      </c>
      <c r="I2757" s="1">
        <v>1E-3</v>
      </c>
      <c r="J2757" s="1">
        <v>0.26100000000000001</v>
      </c>
    </row>
    <row r="2758" spans="1:10" x14ac:dyDescent="0.2">
      <c r="A2758" t="str">
        <f>"06/07/2015"</f>
        <v>06/07/2015</v>
      </c>
      <c r="B2758">
        <v>1</v>
      </c>
      <c r="C2758">
        <v>50000</v>
      </c>
      <c r="D2758">
        <v>138380</v>
      </c>
      <c r="E2758">
        <v>50000</v>
      </c>
      <c r="F2758">
        <v>50000</v>
      </c>
      <c r="G2758" s="1">
        <v>1E-3</v>
      </c>
      <c r="H2758" s="1">
        <v>1E-3</v>
      </c>
      <c r="I2758" s="1">
        <v>1E-3</v>
      </c>
      <c r="J2758" s="1">
        <v>0.27410000000000001</v>
      </c>
    </row>
    <row r="2759" spans="1:10" x14ac:dyDescent="0.2">
      <c r="A2759" t="str">
        <f>"05/07/2015"</f>
        <v>05/07/2015</v>
      </c>
      <c r="B2759">
        <v>1</v>
      </c>
      <c r="C2759">
        <v>50000</v>
      </c>
      <c r="D2759">
        <v>124131</v>
      </c>
      <c r="E2759">
        <v>50000</v>
      </c>
      <c r="F2759">
        <v>50000</v>
      </c>
      <c r="G2759" s="1">
        <v>1E-3</v>
      </c>
      <c r="H2759" s="1">
        <v>1E-3</v>
      </c>
      <c r="I2759" s="1">
        <v>1E-3</v>
      </c>
      <c r="J2759" s="1">
        <v>0.32190000000000002</v>
      </c>
    </row>
    <row r="2760" spans="1:10" x14ac:dyDescent="0.2">
      <c r="A2760" t="str">
        <f>"02/07/2015"</f>
        <v>02/07/2015</v>
      </c>
      <c r="B2760">
        <v>3</v>
      </c>
      <c r="C2760">
        <v>51000</v>
      </c>
      <c r="D2760">
        <v>109768</v>
      </c>
      <c r="E2760">
        <v>51000</v>
      </c>
      <c r="F2760">
        <v>51000</v>
      </c>
      <c r="G2760" s="1">
        <v>1E-3</v>
      </c>
      <c r="H2760" s="1">
        <v>1E-3</v>
      </c>
      <c r="I2760" s="1">
        <v>1E-3</v>
      </c>
      <c r="J2760" s="1">
        <v>0.375</v>
      </c>
    </row>
    <row r="2761" spans="1:10" x14ac:dyDescent="0.2">
      <c r="A2761" t="str">
        <f>"01/07/2015"</f>
        <v>01/07/2015</v>
      </c>
      <c r="B2761">
        <v>1</v>
      </c>
      <c r="C2761">
        <v>52000</v>
      </c>
      <c r="D2761">
        <v>103676</v>
      </c>
      <c r="E2761">
        <v>52000</v>
      </c>
      <c r="F2761">
        <v>52000</v>
      </c>
      <c r="G2761" s="1">
        <v>1E-3</v>
      </c>
      <c r="H2761" s="1">
        <v>1E-3</v>
      </c>
      <c r="I2761" s="1">
        <v>1E-3</v>
      </c>
      <c r="J2761" s="1">
        <v>0.38219999999999998</v>
      </c>
    </row>
    <row r="2762" spans="1:10" x14ac:dyDescent="0.2">
      <c r="A2762" t="str">
        <f>"30/06/2015"</f>
        <v>30/06/2015</v>
      </c>
      <c r="B2762">
        <v>1</v>
      </c>
      <c r="C2762">
        <v>45000</v>
      </c>
      <c r="D2762">
        <v>80724</v>
      </c>
      <c r="E2762">
        <v>45000</v>
      </c>
      <c r="F2762">
        <v>45000</v>
      </c>
      <c r="G2762" s="1">
        <v>1E-3</v>
      </c>
      <c r="H2762" s="1">
        <v>1E-3</v>
      </c>
      <c r="I2762" s="1">
        <v>1E-3</v>
      </c>
      <c r="J2762" s="1">
        <v>0.46310000000000001</v>
      </c>
    </row>
    <row r="2763" spans="1:10" x14ac:dyDescent="0.2">
      <c r="A2763" t="str">
        <f>"29/06/2015"</f>
        <v>29/06/2015</v>
      </c>
      <c r="B2763">
        <v>1</v>
      </c>
      <c r="C2763">
        <v>42000</v>
      </c>
      <c r="D2763">
        <v>71812</v>
      </c>
      <c r="E2763">
        <v>42000</v>
      </c>
      <c r="F2763">
        <v>42000</v>
      </c>
      <c r="G2763" s="1">
        <v>1E-3</v>
      </c>
      <c r="H2763" s="1">
        <v>1E-3</v>
      </c>
      <c r="I2763" s="1">
        <v>1E-3</v>
      </c>
      <c r="J2763" s="1">
        <v>0.49619999999999997</v>
      </c>
    </row>
    <row r="2764" spans="1:10" x14ac:dyDescent="0.2">
      <c r="A2764" t="str">
        <f>"28/06/2015"</f>
        <v>28/06/2015</v>
      </c>
      <c r="B2764">
        <v>1</v>
      </c>
      <c r="C2764">
        <v>40000</v>
      </c>
      <c r="D2764">
        <v>64242</v>
      </c>
      <c r="E2764">
        <v>40000</v>
      </c>
      <c r="F2764">
        <v>40000</v>
      </c>
      <c r="G2764" s="1">
        <v>1E-3</v>
      </c>
      <c r="H2764" s="1">
        <v>1E-3</v>
      </c>
      <c r="I2764" s="1">
        <v>1E-3</v>
      </c>
      <c r="J2764" s="1">
        <v>0.53090000000000004</v>
      </c>
    </row>
    <row r="2765" spans="1:10" x14ac:dyDescent="0.2">
      <c r="A2765" t="str">
        <f>"25/06/2015"</f>
        <v>25/06/2015</v>
      </c>
      <c r="B2765">
        <v>3</v>
      </c>
      <c r="C2765">
        <v>37000</v>
      </c>
      <c r="D2765">
        <v>50096</v>
      </c>
      <c r="E2765">
        <v>37000</v>
      </c>
      <c r="F2765">
        <v>37000</v>
      </c>
      <c r="G2765" s="1">
        <v>1E-3</v>
      </c>
      <c r="H2765" s="1">
        <v>1E-3</v>
      </c>
      <c r="I2765" s="1">
        <v>1E-3</v>
      </c>
      <c r="J2765" s="1">
        <v>0.66569999999999996</v>
      </c>
    </row>
    <row r="2766" spans="1:10" x14ac:dyDescent="0.2">
      <c r="A2766" t="str">
        <f>"24/06/2015"</f>
        <v>24/06/2015</v>
      </c>
      <c r="B2766">
        <v>1</v>
      </c>
      <c r="C2766">
        <v>30000</v>
      </c>
      <c r="D2766">
        <v>27462</v>
      </c>
      <c r="E2766">
        <v>27462</v>
      </c>
      <c r="F2766">
        <v>27462</v>
      </c>
      <c r="G2766" s="1">
        <v>1E-3</v>
      </c>
      <c r="H2766" s="1">
        <v>8.9999999999999998E-4</v>
      </c>
      <c r="I2766" s="1">
        <v>8.9999999999999998E-4</v>
      </c>
      <c r="J2766" s="1">
        <v>1</v>
      </c>
    </row>
    <row r="2767" spans="1:10" x14ac:dyDescent="0.2">
      <c r="A2767" t="str">
        <f>"23/06/2015"</f>
        <v>23/06/2015</v>
      </c>
      <c r="B2767">
        <v>1</v>
      </c>
      <c r="C2767">
        <v>32000</v>
      </c>
      <c r="D2767">
        <v>61487</v>
      </c>
      <c r="E2767">
        <v>32000</v>
      </c>
      <c r="F2767">
        <v>32000</v>
      </c>
      <c r="G2767" s="1">
        <v>1E-3</v>
      </c>
      <c r="H2767" s="1">
        <v>1E-3</v>
      </c>
      <c r="I2767" s="1">
        <v>1E-3</v>
      </c>
      <c r="J2767" s="1">
        <v>0.3831</v>
      </c>
    </row>
    <row r="2768" spans="1:10" x14ac:dyDescent="0.2">
      <c r="A2768" t="str">
        <f>"22/06/2015"</f>
        <v>22/06/2015</v>
      </c>
      <c r="B2768">
        <v>1</v>
      </c>
      <c r="C2768">
        <v>34000</v>
      </c>
      <c r="D2768">
        <v>63833</v>
      </c>
      <c r="E2768">
        <v>34000</v>
      </c>
      <c r="F2768">
        <v>34000</v>
      </c>
      <c r="G2768" s="1">
        <v>1E-3</v>
      </c>
      <c r="H2768" s="1">
        <v>1E-3</v>
      </c>
      <c r="I2768" s="1">
        <v>1E-3</v>
      </c>
      <c r="J2768" s="1">
        <v>0.42599999999999999</v>
      </c>
    </row>
    <row r="2769" spans="1:10" x14ac:dyDescent="0.2">
      <c r="A2769" t="str">
        <f>"21/06/2015"</f>
        <v>21/06/2015</v>
      </c>
      <c r="B2769">
        <v>1</v>
      </c>
      <c r="C2769">
        <v>35000</v>
      </c>
      <c r="D2769">
        <v>80288</v>
      </c>
      <c r="E2769">
        <v>35000</v>
      </c>
      <c r="F2769">
        <v>35000</v>
      </c>
      <c r="G2769" s="1">
        <v>1E-3</v>
      </c>
      <c r="H2769" s="1">
        <v>1E-3</v>
      </c>
      <c r="I2769" s="1">
        <v>1E-3</v>
      </c>
      <c r="J2769" s="1">
        <v>0.34310000000000002</v>
      </c>
    </row>
    <row r="2770" spans="1:10" x14ac:dyDescent="0.2">
      <c r="A2770" t="str">
        <f>"18/06/2015"</f>
        <v>18/06/2015</v>
      </c>
      <c r="B2770">
        <v>3</v>
      </c>
      <c r="C2770">
        <v>37000</v>
      </c>
      <c r="D2770">
        <v>91742</v>
      </c>
      <c r="E2770">
        <v>37000</v>
      </c>
      <c r="F2770">
        <v>37000</v>
      </c>
      <c r="G2770" s="1">
        <v>1E-3</v>
      </c>
      <c r="H2770" s="1">
        <v>1E-3</v>
      </c>
      <c r="I2770" s="1">
        <v>1E-3</v>
      </c>
      <c r="J2770" s="1">
        <v>0.309</v>
      </c>
    </row>
    <row r="2771" spans="1:10" x14ac:dyDescent="0.2">
      <c r="A2771" t="str">
        <f>"17/06/2015"</f>
        <v>17/06/2015</v>
      </c>
      <c r="B2771">
        <v>1</v>
      </c>
      <c r="C2771">
        <v>33000</v>
      </c>
      <c r="D2771">
        <v>89041</v>
      </c>
      <c r="E2771">
        <v>33000</v>
      </c>
      <c r="F2771">
        <v>33000</v>
      </c>
      <c r="G2771" s="1">
        <v>1E-3</v>
      </c>
      <c r="H2771" s="1">
        <v>1E-3</v>
      </c>
      <c r="I2771" s="1">
        <v>1E-3</v>
      </c>
      <c r="J2771" s="1">
        <v>0.25</v>
      </c>
    </row>
    <row r="2772" spans="1:10" x14ac:dyDescent="0.2">
      <c r="A2772" t="str">
        <f>"16/06/2015"</f>
        <v>16/06/2015</v>
      </c>
      <c r="B2772">
        <v>1</v>
      </c>
      <c r="C2772">
        <v>33000</v>
      </c>
      <c r="D2772">
        <v>91478</v>
      </c>
      <c r="E2772">
        <v>33000</v>
      </c>
      <c r="F2772">
        <v>33000</v>
      </c>
      <c r="G2772" s="1">
        <v>1E-3</v>
      </c>
      <c r="H2772" s="1">
        <v>1E-3</v>
      </c>
      <c r="I2772" s="1">
        <v>1E-3</v>
      </c>
      <c r="J2772" s="1">
        <v>0.2379</v>
      </c>
    </row>
    <row r="2773" spans="1:10" x14ac:dyDescent="0.2">
      <c r="A2773" t="str">
        <f>"15/06/2015"</f>
        <v>15/06/2015</v>
      </c>
      <c r="B2773">
        <v>1</v>
      </c>
      <c r="C2773">
        <v>41000</v>
      </c>
      <c r="D2773">
        <v>110155</v>
      </c>
      <c r="E2773">
        <v>41000</v>
      </c>
      <c r="F2773">
        <v>41000</v>
      </c>
      <c r="G2773" s="1">
        <v>1E-3</v>
      </c>
      <c r="H2773" s="1">
        <v>1E-3</v>
      </c>
      <c r="I2773" s="1">
        <v>1E-3</v>
      </c>
      <c r="J2773" s="1">
        <v>0.28139999999999998</v>
      </c>
    </row>
    <row r="2774" spans="1:10" x14ac:dyDescent="0.2">
      <c r="A2774" t="str">
        <f>"14/06/2015"</f>
        <v>14/06/2015</v>
      </c>
      <c r="B2774">
        <v>1</v>
      </c>
      <c r="C2774">
        <v>42000</v>
      </c>
      <c r="D2774">
        <v>106867</v>
      </c>
      <c r="E2774">
        <v>42000</v>
      </c>
      <c r="F2774">
        <v>42000</v>
      </c>
      <c r="G2774" s="1">
        <v>1E-3</v>
      </c>
      <c r="H2774" s="1">
        <v>1E-3</v>
      </c>
      <c r="I2774" s="1">
        <v>1E-3</v>
      </c>
      <c r="J2774" s="1">
        <v>0.30409999999999998</v>
      </c>
    </row>
    <row r="2775" spans="1:10" x14ac:dyDescent="0.2">
      <c r="A2775" t="str">
        <f>"11/06/2015"</f>
        <v>11/06/2015</v>
      </c>
      <c r="B2775">
        <v>3</v>
      </c>
      <c r="C2775">
        <v>46000</v>
      </c>
      <c r="D2775">
        <v>127799</v>
      </c>
      <c r="E2775">
        <v>46000</v>
      </c>
      <c r="F2775">
        <v>46000</v>
      </c>
      <c r="G2775" s="1">
        <v>1E-3</v>
      </c>
      <c r="H2775" s="1">
        <v>1E-3</v>
      </c>
      <c r="I2775" s="1">
        <v>1E-3</v>
      </c>
      <c r="J2775" s="1">
        <v>0.28029999999999999</v>
      </c>
    </row>
    <row r="2776" spans="1:10" x14ac:dyDescent="0.2">
      <c r="A2776" t="str">
        <f>"10/06/2015"</f>
        <v>10/06/2015</v>
      </c>
      <c r="B2776">
        <v>1</v>
      </c>
      <c r="C2776">
        <v>46000</v>
      </c>
      <c r="D2776">
        <v>137360</v>
      </c>
      <c r="E2776">
        <v>46000</v>
      </c>
      <c r="F2776">
        <v>46000</v>
      </c>
      <c r="G2776" s="1">
        <v>1E-3</v>
      </c>
      <c r="H2776" s="1">
        <v>1E-3</v>
      </c>
      <c r="I2776" s="1">
        <v>1E-3</v>
      </c>
      <c r="J2776" s="1">
        <v>0.25019999999999998</v>
      </c>
    </row>
    <row r="2777" spans="1:10" x14ac:dyDescent="0.2">
      <c r="A2777" t="str">
        <f>"09/06/2015"</f>
        <v>09/06/2015</v>
      </c>
      <c r="B2777">
        <v>1</v>
      </c>
      <c r="C2777">
        <v>45000</v>
      </c>
      <c r="D2777">
        <v>132718</v>
      </c>
      <c r="E2777">
        <v>45000</v>
      </c>
      <c r="F2777">
        <v>45000</v>
      </c>
      <c r="G2777" s="1">
        <v>1E-3</v>
      </c>
      <c r="H2777" s="1">
        <v>1E-3</v>
      </c>
      <c r="I2777" s="1">
        <v>1E-3</v>
      </c>
      <c r="J2777" s="1">
        <v>0.24429999999999999</v>
      </c>
    </row>
    <row r="2778" spans="1:10" x14ac:dyDescent="0.2">
      <c r="A2778" t="str">
        <f>"08/06/2015"</f>
        <v>08/06/2015</v>
      </c>
      <c r="B2778">
        <v>1</v>
      </c>
      <c r="C2778">
        <v>45000</v>
      </c>
      <c r="D2778">
        <v>135080</v>
      </c>
      <c r="E2778">
        <v>45000</v>
      </c>
      <c r="F2778">
        <v>45000</v>
      </c>
      <c r="G2778" s="1">
        <v>1E-3</v>
      </c>
      <c r="H2778" s="1">
        <v>1E-3</v>
      </c>
      <c r="I2778" s="1">
        <v>1E-3</v>
      </c>
      <c r="J2778" s="1">
        <v>0.23830000000000001</v>
      </c>
    </row>
    <row r="2779" spans="1:10" x14ac:dyDescent="0.2">
      <c r="A2779" t="str">
        <f>"07/06/2015"</f>
        <v>07/06/2015</v>
      </c>
      <c r="B2779">
        <v>1</v>
      </c>
      <c r="C2779">
        <v>45000</v>
      </c>
      <c r="D2779">
        <v>136499</v>
      </c>
      <c r="E2779">
        <v>45000</v>
      </c>
      <c r="F2779">
        <v>45000</v>
      </c>
      <c r="G2779" s="1">
        <v>1E-3</v>
      </c>
      <c r="H2779" s="1">
        <v>1E-3</v>
      </c>
      <c r="I2779" s="1">
        <v>1E-3</v>
      </c>
      <c r="J2779" s="1">
        <v>0.2412</v>
      </c>
    </row>
    <row r="2780" spans="1:10" x14ac:dyDescent="0.2">
      <c r="A2780" t="str">
        <f>"04/06/2015"</f>
        <v>04/06/2015</v>
      </c>
      <c r="B2780">
        <v>3</v>
      </c>
      <c r="C2780">
        <v>44000</v>
      </c>
      <c r="D2780">
        <v>131270</v>
      </c>
      <c r="E2780">
        <v>44000</v>
      </c>
      <c r="F2780">
        <v>44000</v>
      </c>
      <c r="G2780" s="1">
        <v>1E-3</v>
      </c>
      <c r="H2780" s="1">
        <v>1E-3</v>
      </c>
      <c r="I2780" s="1">
        <v>1E-3</v>
      </c>
      <c r="J2780" s="1">
        <v>0.24149999999999999</v>
      </c>
    </row>
    <row r="2781" spans="1:10" x14ac:dyDescent="0.2">
      <c r="A2781" t="str">
        <f>"03/06/2015"</f>
        <v>03/06/2015</v>
      </c>
      <c r="B2781">
        <v>1</v>
      </c>
      <c r="C2781">
        <v>47000</v>
      </c>
      <c r="D2781">
        <v>159663</v>
      </c>
      <c r="E2781">
        <v>47000</v>
      </c>
      <c r="F2781">
        <v>47000</v>
      </c>
      <c r="G2781" s="1">
        <v>1E-3</v>
      </c>
      <c r="H2781" s="1">
        <v>1E-3</v>
      </c>
      <c r="I2781" s="1">
        <v>1E-3</v>
      </c>
      <c r="J2781" s="1">
        <v>0.21249999999999999</v>
      </c>
    </row>
    <row r="2782" spans="1:10" x14ac:dyDescent="0.2">
      <c r="A2782" t="str">
        <f>"02/06/2015"</f>
        <v>02/06/2015</v>
      </c>
      <c r="B2782">
        <v>1</v>
      </c>
      <c r="C2782">
        <v>44000</v>
      </c>
      <c r="D2782">
        <v>132307</v>
      </c>
      <c r="E2782">
        <v>44000</v>
      </c>
      <c r="F2782">
        <v>44000</v>
      </c>
      <c r="G2782" s="1">
        <v>1E-3</v>
      </c>
      <c r="H2782" s="1">
        <v>1E-3</v>
      </c>
      <c r="I2782" s="1">
        <v>1E-3</v>
      </c>
      <c r="J2782" s="1">
        <v>0.2495</v>
      </c>
    </row>
    <row r="2783" spans="1:10" x14ac:dyDescent="0.2">
      <c r="A2783" t="str">
        <f>"01/06/2015"</f>
        <v>01/06/2015</v>
      </c>
      <c r="B2783">
        <v>1</v>
      </c>
      <c r="C2783">
        <v>42000</v>
      </c>
      <c r="D2783">
        <v>97660</v>
      </c>
      <c r="E2783">
        <v>42000</v>
      </c>
      <c r="F2783">
        <v>42000</v>
      </c>
      <c r="G2783" s="1">
        <v>1E-3</v>
      </c>
      <c r="H2783" s="1">
        <v>1E-3</v>
      </c>
      <c r="I2783" s="1">
        <v>1E-3</v>
      </c>
      <c r="J2783" s="1">
        <v>0.32579999999999998</v>
      </c>
    </row>
    <row r="2784" spans="1:10" x14ac:dyDescent="0.2">
      <c r="A2784" t="str">
        <f>"31/05/2015"</f>
        <v>31/05/2015</v>
      </c>
      <c r="B2784">
        <v>1</v>
      </c>
      <c r="C2784">
        <v>37000</v>
      </c>
      <c r="D2784">
        <v>66468</v>
      </c>
      <c r="E2784">
        <v>37000</v>
      </c>
      <c r="F2784">
        <v>37000</v>
      </c>
      <c r="G2784" s="1">
        <v>1E-3</v>
      </c>
      <c r="H2784" s="1">
        <v>1E-3</v>
      </c>
      <c r="I2784" s="1">
        <v>1E-3</v>
      </c>
      <c r="J2784" s="1">
        <v>0.46360000000000001</v>
      </c>
    </row>
    <row r="2785" spans="1:10" x14ac:dyDescent="0.2">
      <c r="A2785" t="str">
        <f>"28/05/2015"</f>
        <v>28/05/2015</v>
      </c>
      <c r="B2785">
        <v>3</v>
      </c>
      <c r="C2785">
        <v>36000</v>
      </c>
      <c r="D2785">
        <v>47170</v>
      </c>
      <c r="E2785">
        <v>36000</v>
      </c>
      <c r="F2785">
        <v>36000</v>
      </c>
      <c r="G2785" s="1">
        <v>1E-3</v>
      </c>
      <c r="H2785" s="1">
        <v>1E-3</v>
      </c>
      <c r="I2785" s="1">
        <v>1E-3</v>
      </c>
      <c r="J2785" s="1">
        <v>0.68610000000000004</v>
      </c>
    </row>
    <row r="2786" spans="1:10" x14ac:dyDescent="0.2">
      <c r="A2786" t="str">
        <f>"27/05/2015"</f>
        <v>27/05/2015</v>
      </c>
      <c r="B2786">
        <v>1</v>
      </c>
      <c r="C2786">
        <v>31000</v>
      </c>
      <c r="D2786">
        <v>27885</v>
      </c>
      <c r="E2786">
        <v>27885</v>
      </c>
      <c r="F2786">
        <v>27885</v>
      </c>
      <c r="G2786" s="1">
        <v>1E-3</v>
      </c>
      <c r="H2786" s="1">
        <v>8.9999999999999998E-4</v>
      </c>
      <c r="I2786" s="1">
        <v>8.9999999999999998E-4</v>
      </c>
      <c r="J2786" s="1">
        <v>1</v>
      </c>
    </row>
    <row r="2787" spans="1:10" x14ac:dyDescent="0.2">
      <c r="A2787" t="str">
        <f>"26/05/2015"</f>
        <v>26/05/2015</v>
      </c>
      <c r="B2787">
        <v>1</v>
      </c>
      <c r="C2787">
        <v>30000</v>
      </c>
      <c r="D2787">
        <v>27569</v>
      </c>
      <c r="E2787">
        <v>27569</v>
      </c>
      <c r="F2787">
        <v>27569</v>
      </c>
      <c r="G2787" s="1">
        <v>1E-3</v>
      </c>
      <c r="H2787" s="1">
        <v>8.9999999999999998E-4</v>
      </c>
      <c r="I2787" s="1">
        <v>8.9999999999999998E-4</v>
      </c>
      <c r="J2787" s="1">
        <v>1</v>
      </c>
    </row>
    <row r="2788" spans="1:10" x14ac:dyDescent="0.2">
      <c r="A2788" t="str">
        <f>"25/05/2015"</f>
        <v>25/05/2015</v>
      </c>
      <c r="B2788">
        <v>1</v>
      </c>
      <c r="C2788">
        <v>32000</v>
      </c>
      <c r="D2788">
        <v>55434</v>
      </c>
      <c r="E2788">
        <v>32000</v>
      </c>
      <c r="F2788">
        <v>32000</v>
      </c>
      <c r="G2788" s="1">
        <v>1E-3</v>
      </c>
      <c r="H2788" s="1">
        <v>8.9999999999999998E-4</v>
      </c>
      <c r="I2788" s="1">
        <v>8.9999999999999998E-4</v>
      </c>
      <c r="J2788" s="1">
        <v>0.31109999999999999</v>
      </c>
    </row>
    <row r="2789" spans="1:10" x14ac:dyDescent="0.2">
      <c r="A2789" t="str">
        <f>"21/05/2015"</f>
        <v>21/05/2015</v>
      </c>
      <c r="B2789">
        <v>4</v>
      </c>
      <c r="C2789">
        <v>32000</v>
      </c>
      <c r="D2789">
        <v>100353</v>
      </c>
      <c r="E2789">
        <v>32000</v>
      </c>
      <c r="F2789">
        <v>32000</v>
      </c>
      <c r="G2789" s="1">
        <v>1E-3</v>
      </c>
      <c r="H2789" s="1">
        <v>1E-3</v>
      </c>
      <c r="I2789" s="1">
        <v>1E-3</v>
      </c>
      <c r="J2789" s="1">
        <v>0.2112</v>
      </c>
    </row>
    <row r="2790" spans="1:10" x14ac:dyDescent="0.2">
      <c r="A2790" t="str">
        <f>"20/05/2015"</f>
        <v>20/05/2015</v>
      </c>
      <c r="B2790">
        <v>1</v>
      </c>
      <c r="C2790">
        <v>32000</v>
      </c>
      <c r="D2790">
        <v>109342</v>
      </c>
      <c r="E2790">
        <v>32000</v>
      </c>
      <c r="F2790">
        <v>32000</v>
      </c>
      <c r="G2790" s="1">
        <v>1E-3</v>
      </c>
      <c r="H2790" s="1">
        <v>1E-3</v>
      </c>
      <c r="I2790" s="1">
        <v>1E-3</v>
      </c>
      <c r="J2790" s="1">
        <v>0.18540000000000001</v>
      </c>
    </row>
    <row r="2791" spans="1:10" x14ac:dyDescent="0.2">
      <c r="A2791" t="str">
        <f>"19/05/2015"</f>
        <v>19/05/2015</v>
      </c>
      <c r="B2791">
        <v>1</v>
      </c>
      <c r="C2791">
        <v>34000</v>
      </c>
      <c r="D2791">
        <v>110705</v>
      </c>
      <c r="E2791">
        <v>34000</v>
      </c>
      <c r="F2791">
        <v>34000</v>
      </c>
      <c r="G2791" s="1">
        <v>1E-3</v>
      </c>
      <c r="H2791" s="1">
        <v>1E-3</v>
      </c>
      <c r="I2791" s="1">
        <v>1E-3</v>
      </c>
      <c r="J2791" s="1">
        <v>0.2041</v>
      </c>
    </row>
    <row r="2792" spans="1:10" x14ac:dyDescent="0.2">
      <c r="A2792" t="str">
        <f>"18/05/2015"</f>
        <v>18/05/2015</v>
      </c>
      <c r="B2792">
        <v>1</v>
      </c>
      <c r="C2792">
        <v>36000</v>
      </c>
      <c r="D2792">
        <v>114872</v>
      </c>
      <c r="E2792">
        <v>36000</v>
      </c>
      <c r="F2792">
        <v>36000</v>
      </c>
      <c r="G2792" s="1">
        <v>1E-3</v>
      </c>
      <c r="H2792" s="1">
        <v>1E-3</v>
      </c>
      <c r="I2792" s="1">
        <v>1E-3</v>
      </c>
      <c r="J2792" s="1">
        <v>0.21560000000000001</v>
      </c>
    </row>
    <row r="2793" spans="1:10" x14ac:dyDescent="0.2">
      <c r="A2793" t="str">
        <f>"17/05/2015"</f>
        <v>17/05/2015</v>
      </c>
      <c r="B2793">
        <v>1</v>
      </c>
      <c r="C2793">
        <v>36000</v>
      </c>
      <c r="D2793">
        <v>100843</v>
      </c>
      <c r="E2793">
        <v>36000</v>
      </c>
      <c r="F2793">
        <v>36000</v>
      </c>
      <c r="G2793" s="1">
        <v>1E-3</v>
      </c>
      <c r="H2793" s="1">
        <v>1E-3</v>
      </c>
      <c r="I2793" s="1">
        <v>1E-3</v>
      </c>
      <c r="J2793" s="1">
        <v>0.25240000000000001</v>
      </c>
    </row>
    <row r="2794" spans="1:10" x14ac:dyDescent="0.2">
      <c r="A2794" t="str">
        <f>"14/05/2015"</f>
        <v>14/05/2015</v>
      </c>
      <c r="B2794">
        <v>3</v>
      </c>
      <c r="C2794">
        <v>46000</v>
      </c>
      <c r="D2794">
        <v>122771</v>
      </c>
      <c r="E2794">
        <v>46000</v>
      </c>
      <c r="F2794">
        <v>46000</v>
      </c>
      <c r="G2794" s="1">
        <v>1E-3</v>
      </c>
      <c r="H2794" s="1">
        <v>1E-3</v>
      </c>
      <c r="I2794" s="1">
        <v>1E-3</v>
      </c>
      <c r="J2794" s="1">
        <v>0.28249999999999997</v>
      </c>
    </row>
    <row r="2795" spans="1:10" x14ac:dyDescent="0.2">
      <c r="A2795" t="str">
        <f>"13/05/2015"</f>
        <v>13/05/2015</v>
      </c>
      <c r="B2795">
        <v>1</v>
      </c>
      <c r="C2795">
        <v>43000</v>
      </c>
      <c r="D2795">
        <v>105219</v>
      </c>
      <c r="E2795">
        <v>43000</v>
      </c>
      <c r="F2795">
        <v>43000</v>
      </c>
      <c r="G2795" s="1">
        <v>1E-3</v>
      </c>
      <c r="H2795" s="1">
        <v>1E-3</v>
      </c>
      <c r="I2795" s="1">
        <v>1E-3</v>
      </c>
      <c r="J2795" s="1">
        <v>0.30480000000000002</v>
      </c>
    </row>
    <row r="2796" spans="1:10" x14ac:dyDescent="0.2">
      <c r="A2796" t="str">
        <f>"12/05/2015"</f>
        <v>12/05/2015</v>
      </c>
      <c r="B2796">
        <v>1</v>
      </c>
      <c r="C2796">
        <v>44000</v>
      </c>
      <c r="D2796">
        <v>110185</v>
      </c>
      <c r="E2796">
        <v>44000</v>
      </c>
      <c r="F2796">
        <v>44000</v>
      </c>
      <c r="G2796" s="1">
        <v>1E-3</v>
      </c>
      <c r="H2796" s="1">
        <v>1E-3</v>
      </c>
      <c r="I2796" s="1">
        <v>1E-3</v>
      </c>
      <c r="J2796" s="1">
        <v>0.29389999999999999</v>
      </c>
    </row>
    <row r="2797" spans="1:10" x14ac:dyDescent="0.2">
      <c r="A2797" t="str">
        <f>"11/05/2015"</f>
        <v>11/05/2015</v>
      </c>
      <c r="B2797">
        <v>1</v>
      </c>
      <c r="C2797">
        <v>45000</v>
      </c>
      <c r="D2797">
        <v>114853</v>
      </c>
      <c r="E2797">
        <v>45000</v>
      </c>
      <c r="F2797">
        <v>45000</v>
      </c>
      <c r="G2797" s="1">
        <v>1E-3</v>
      </c>
      <c r="H2797" s="1">
        <v>1E-3</v>
      </c>
      <c r="I2797" s="1">
        <v>1E-3</v>
      </c>
      <c r="J2797" s="1">
        <v>0.28689999999999999</v>
      </c>
    </row>
    <row r="2798" spans="1:10" x14ac:dyDescent="0.2">
      <c r="A2798" t="str">
        <f>"10/05/2015"</f>
        <v>10/05/2015</v>
      </c>
      <c r="B2798">
        <v>1</v>
      </c>
      <c r="C2798">
        <v>44000</v>
      </c>
      <c r="D2798">
        <v>113226</v>
      </c>
      <c r="E2798">
        <v>44000</v>
      </c>
      <c r="F2798">
        <v>44000</v>
      </c>
      <c r="G2798" s="1">
        <v>1E-3</v>
      </c>
      <c r="H2798" s="1">
        <v>1E-3</v>
      </c>
      <c r="I2798" s="1">
        <v>1E-3</v>
      </c>
      <c r="J2798" s="1">
        <v>0.28299999999999997</v>
      </c>
    </row>
    <row r="2799" spans="1:10" x14ac:dyDescent="0.2">
      <c r="A2799" t="str">
        <f>"07/05/2015"</f>
        <v>07/05/2015</v>
      </c>
      <c r="B2799">
        <v>3</v>
      </c>
      <c r="C2799">
        <v>45000</v>
      </c>
      <c r="D2799">
        <v>112145</v>
      </c>
      <c r="E2799">
        <v>45000</v>
      </c>
      <c r="F2799">
        <v>45000</v>
      </c>
      <c r="G2799" s="1">
        <v>1E-3</v>
      </c>
      <c r="H2799" s="1">
        <v>1E-3</v>
      </c>
      <c r="I2799" s="1">
        <v>1E-3</v>
      </c>
      <c r="J2799" s="1">
        <v>0.30199999999999999</v>
      </c>
    </row>
    <row r="2800" spans="1:10" x14ac:dyDescent="0.2">
      <c r="A2800" t="str">
        <f>"06/05/2015"</f>
        <v>06/05/2015</v>
      </c>
      <c r="B2800">
        <v>1</v>
      </c>
      <c r="C2800">
        <v>45000</v>
      </c>
      <c r="D2800">
        <v>100650</v>
      </c>
      <c r="E2800">
        <v>45000</v>
      </c>
      <c r="F2800">
        <v>45000</v>
      </c>
      <c r="G2800" s="1">
        <v>1E-3</v>
      </c>
      <c r="H2800" s="1">
        <v>1E-3</v>
      </c>
      <c r="I2800" s="1">
        <v>1E-3</v>
      </c>
      <c r="J2800" s="1">
        <v>0.32269999999999999</v>
      </c>
    </row>
    <row r="2801" spans="1:10" x14ac:dyDescent="0.2">
      <c r="A2801" t="str">
        <f>"05/05/2015"</f>
        <v>05/05/2015</v>
      </c>
      <c r="B2801">
        <v>1</v>
      </c>
      <c r="C2801">
        <v>43000</v>
      </c>
      <c r="D2801">
        <v>91943</v>
      </c>
      <c r="E2801">
        <v>43000</v>
      </c>
      <c r="F2801">
        <v>43000</v>
      </c>
      <c r="G2801" s="1">
        <v>1E-3</v>
      </c>
      <c r="H2801" s="1">
        <v>1E-3</v>
      </c>
      <c r="I2801" s="1">
        <v>1E-3</v>
      </c>
      <c r="J2801" s="1">
        <v>0.34739999999999999</v>
      </c>
    </row>
    <row r="2802" spans="1:10" x14ac:dyDescent="0.2">
      <c r="A2802" t="str">
        <f>"04/05/2015"</f>
        <v>04/05/2015</v>
      </c>
      <c r="B2802">
        <v>1</v>
      </c>
      <c r="C2802">
        <v>42000</v>
      </c>
      <c r="D2802">
        <v>82242</v>
      </c>
      <c r="E2802">
        <v>42000</v>
      </c>
      <c r="F2802">
        <v>42000</v>
      </c>
      <c r="G2802" s="1">
        <v>1E-3</v>
      </c>
      <c r="H2802" s="1">
        <v>1E-3</v>
      </c>
      <c r="I2802" s="1">
        <v>1E-3</v>
      </c>
      <c r="J2802" s="1">
        <v>0.3846</v>
      </c>
    </row>
    <row r="2803" spans="1:10" x14ac:dyDescent="0.2">
      <c r="A2803" t="str">
        <f>"03/05/2015"</f>
        <v>03/05/2015</v>
      </c>
      <c r="B2803">
        <v>1</v>
      </c>
      <c r="C2803">
        <v>42000</v>
      </c>
      <c r="D2803">
        <v>67885</v>
      </c>
      <c r="E2803">
        <v>42000</v>
      </c>
      <c r="F2803">
        <v>42000</v>
      </c>
      <c r="G2803" s="1">
        <v>1E-3</v>
      </c>
      <c r="H2803" s="1">
        <v>1E-3</v>
      </c>
      <c r="I2803" s="1">
        <v>1E-3</v>
      </c>
      <c r="J2803" s="1">
        <v>0.50070000000000003</v>
      </c>
    </row>
    <row r="2804" spans="1:10" x14ac:dyDescent="0.2">
      <c r="A2804" t="str">
        <f>"30/04/2015"</f>
        <v>30/04/2015</v>
      </c>
      <c r="B2804">
        <v>3</v>
      </c>
      <c r="C2804">
        <v>37000</v>
      </c>
      <c r="D2804">
        <v>48435</v>
      </c>
      <c r="E2804">
        <v>37000</v>
      </c>
      <c r="F2804">
        <v>37000</v>
      </c>
      <c r="G2804" s="1">
        <v>1E-3</v>
      </c>
      <c r="H2804" s="1">
        <v>1E-3</v>
      </c>
      <c r="I2804" s="1">
        <v>1E-3</v>
      </c>
      <c r="J2804" s="1">
        <v>0.66990000000000005</v>
      </c>
    </row>
    <row r="2805" spans="1:10" x14ac:dyDescent="0.2">
      <c r="A2805" t="str">
        <f>"29/04/2015"</f>
        <v>29/04/2015</v>
      </c>
      <c r="B2805">
        <v>1</v>
      </c>
      <c r="C2805">
        <v>26000</v>
      </c>
      <c r="D2805">
        <v>20879</v>
      </c>
      <c r="E2805">
        <v>20879</v>
      </c>
      <c r="F2805">
        <v>20879</v>
      </c>
      <c r="G2805" s="1">
        <v>1E-3</v>
      </c>
      <c r="H2805" s="1">
        <v>8.9999999999999998E-4</v>
      </c>
      <c r="I2805" s="1">
        <v>8.9999999999999998E-4</v>
      </c>
      <c r="J2805" s="1">
        <v>1</v>
      </c>
    </row>
    <row r="2806" spans="1:10" x14ac:dyDescent="0.2">
      <c r="A2806" t="str">
        <f>"28/04/2015"</f>
        <v>28/04/2015</v>
      </c>
      <c r="B2806">
        <v>1</v>
      </c>
      <c r="C2806">
        <v>25000</v>
      </c>
      <c r="D2806">
        <v>28733</v>
      </c>
      <c r="E2806">
        <v>25000</v>
      </c>
      <c r="F2806">
        <v>25000</v>
      </c>
      <c r="G2806" s="1">
        <v>1E-3</v>
      </c>
      <c r="H2806" s="1">
        <v>8.9999999999999998E-4</v>
      </c>
      <c r="I2806" s="1">
        <v>8.9999999999999998E-4</v>
      </c>
      <c r="J2806" s="1">
        <v>0.71279999999999999</v>
      </c>
    </row>
    <row r="2807" spans="1:10" x14ac:dyDescent="0.2">
      <c r="A2807" t="str">
        <f>"27/04/2015"</f>
        <v>27/04/2015</v>
      </c>
      <c r="B2807">
        <v>1</v>
      </c>
      <c r="C2807">
        <v>26000</v>
      </c>
      <c r="D2807">
        <v>34099</v>
      </c>
      <c r="E2807">
        <v>26000</v>
      </c>
      <c r="F2807">
        <v>26000</v>
      </c>
      <c r="G2807" s="1">
        <v>1E-3</v>
      </c>
      <c r="H2807" s="1">
        <v>8.9999999999999998E-4</v>
      </c>
      <c r="I2807" s="1">
        <v>8.9999999999999998E-4</v>
      </c>
      <c r="J2807" s="1">
        <v>0.56100000000000005</v>
      </c>
    </row>
    <row r="2808" spans="1:10" x14ac:dyDescent="0.2">
      <c r="A2808" t="str">
        <f>"26/04/2015"</f>
        <v>26/04/2015</v>
      </c>
      <c r="B2808">
        <v>1</v>
      </c>
      <c r="C2808">
        <v>27000</v>
      </c>
      <c r="D2808">
        <v>47526</v>
      </c>
      <c r="E2808">
        <v>27000</v>
      </c>
      <c r="F2808">
        <v>27000</v>
      </c>
      <c r="G2808" s="1">
        <v>1E-3</v>
      </c>
      <c r="H2808" s="1">
        <v>8.9999999999999998E-4</v>
      </c>
      <c r="I2808" s="1">
        <v>8.9999999999999998E-4</v>
      </c>
      <c r="J2808" s="1">
        <v>0.3891</v>
      </c>
    </row>
    <row r="2809" spans="1:10" x14ac:dyDescent="0.2">
      <c r="A2809" t="str">
        <f>"22/04/2015"</f>
        <v>22/04/2015</v>
      </c>
      <c r="B2809">
        <v>4</v>
      </c>
      <c r="C2809">
        <v>27000</v>
      </c>
      <c r="D2809">
        <v>54990</v>
      </c>
      <c r="E2809">
        <v>27000</v>
      </c>
      <c r="F2809">
        <v>27000</v>
      </c>
      <c r="G2809" s="1">
        <v>1E-3</v>
      </c>
      <c r="H2809" s="1">
        <v>1E-3</v>
      </c>
      <c r="I2809" s="1">
        <v>1E-3</v>
      </c>
      <c r="J2809" s="1">
        <v>0.32879999999999998</v>
      </c>
    </row>
    <row r="2810" spans="1:10" x14ac:dyDescent="0.2">
      <c r="A2810" t="str">
        <f>"21/04/2015"</f>
        <v>21/04/2015</v>
      </c>
      <c r="B2810">
        <v>1</v>
      </c>
      <c r="C2810">
        <v>29000</v>
      </c>
      <c r="D2810">
        <v>57469</v>
      </c>
      <c r="E2810">
        <v>29000</v>
      </c>
      <c r="F2810">
        <v>29000</v>
      </c>
      <c r="G2810" s="1">
        <v>1E-3</v>
      </c>
      <c r="H2810" s="1">
        <v>8.9999999999999998E-4</v>
      </c>
      <c r="I2810" s="1">
        <v>8.9999999999999998E-4</v>
      </c>
      <c r="J2810" s="1">
        <v>0.31669999999999998</v>
      </c>
    </row>
    <row r="2811" spans="1:10" x14ac:dyDescent="0.2">
      <c r="A2811" t="str">
        <f>"20/04/2015"</f>
        <v>20/04/2015</v>
      </c>
      <c r="B2811">
        <v>1</v>
      </c>
      <c r="C2811">
        <v>36000</v>
      </c>
      <c r="D2811">
        <v>72118</v>
      </c>
      <c r="E2811">
        <v>36000</v>
      </c>
      <c r="F2811">
        <v>36000</v>
      </c>
      <c r="G2811" s="1">
        <v>1E-3</v>
      </c>
      <c r="H2811" s="1">
        <v>1E-3</v>
      </c>
      <c r="I2811" s="1">
        <v>1E-3</v>
      </c>
      <c r="J2811" s="1">
        <v>0.34949999999999998</v>
      </c>
    </row>
    <row r="2812" spans="1:10" x14ac:dyDescent="0.2">
      <c r="A2812" t="str">
        <f>"19/04/2015"</f>
        <v>19/04/2015</v>
      </c>
      <c r="B2812">
        <v>1</v>
      </c>
      <c r="C2812">
        <v>37000</v>
      </c>
      <c r="D2812">
        <v>69030</v>
      </c>
      <c r="E2812">
        <v>37000</v>
      </c>
      <c r="F2812">
        <v>37000</v>
      </c>
      <c r="G2812" s="1">
        <v>1E-3</v>
      </c>
      <c r="H2812" s="1">
        <v>8.9999999999999998E-4</v>
      </c>
      <c r="I2812" s="1">
        <v>8.9999999999999998E-4</v>
      </c>
      <c r="J2812" s="1">
        <v>0.36570000000000003</v>
      </c>
    </row>
    <row r="2813" spans="1:10" x14ac:dyDescent="0.2">
      <c r="A2813" t="str">
        <f>"16/04/2015"</f>
        <v>16/04/2015</v>
      </c>
      <c r="B2813">
        <v>3</v>
      </c>
      <c r="C2813">
        <v>37000</v>
      </c>
      <c r="D2813">
        <v>79738</v>
      </c>
      <c r="E2813">
        <v>37000</v>
      </c>
      <c r="F2813">
        <v>37000</v>
      </c>
      <c r="G2813" s="1">
        <v>1E-3</v>
      </c>
      <c r="H2813" s="1">
        <v>1E-3</v>
      </c>
      <c r="I2813" s="1">
        <v>1E-3</v>
      </c>
      <c r="J2813" s="1">
        <v>0.34749999999999998</v>
      </c>
    </row>
    <row r="2814" spans="1:10" x14ac:dyDescent="0.2">
      <c r="A2814" t="str">
        <f>"15/04/2015"</f>
        <v>15/04/2015</v>
      </c>
      <c r="B2814">
        <v>1</v>
      </c>
      <c r="C2814">
        <v>35000</v>
      </c>
      <c r="D2814">
        <v>68602</v>
      </c>
      <c r="E2814">
        <v>35000</v>
      </c>
      <c r="F2814">
        <v>35000</v>
      </c>
      <c r="G2814" s="1">
        <v>1E-3</v>
      </c>
      <c r="H2814" s="1">
        <v>1E-3</v>
      </c>
      <c r="I2814" s="1">
        <v>1E-3</v>
      </c>
      <c r="J2814" s="1">
        <v>0.36299999999999999</v>
      </c>
    </row>
    <row r="2815" spans="1:10" x14ac:dyDescent="0.2">
      <c r="A2815" t="str">
        <f>"14/04/2015"</f>
        <v>14/04/2015</v>
      </c>
      <c r="B2815">
        <v>1</v>
      </c>
      <c r="C2815">
        <v>37000</v>
      </c>
      <c r="D2815">
        <v>62664</v>
      </c>
      <c r="E2815">
        <v>37000</v>
      </c>
      <c r="F2815">
        <v>37000</v>
      </c>
      <c r="G2815" s="1">
        <v>1E-3</v>
      </c>
      <c r="H2815" s="1">
        <v>1E-3</v>
      </c>
      <c r="I2815" s="1">
        <v>1E-3</v>
      </c>
      <c r="J2815" s="1">
        <v>0.46479999999999999</v>
      </c>
    </row>
    <row r="2816" spans="1:10" x14ac:dyDescent="0.2">
      <c r="A2816" t="str">
        <f>"13/04/2015"</f>
        <v>13/04/2015</v>
      </c>
      <c r="B2816">
        <v>1</v>
      </c>
      <c r="C2816">
        <v>38000</v>
      </c>
      <c r="D2816">
        <v>60819</v>
      </c>
      <c r="E2816">
        <v>38000</v>
      </c>
      <c r="F2816">
        <v>38000</v>
      </c>
      <c r="G2816" s="1">
        <v>1E-3</v>
      </c>
      <c r="H2816" s="1">
        <v>1E-3</v>
      </c>
      <c r="I2816" s="1">
        <v>1E-3</v>
      </c>
      <c r="J2816" s="1">
        <v>0.49059999999999998</v>
      </c>
    </row>
    <row r="2817" spans="1:10" x14ac:dyDescent="0.2">
      <c r="A2817" t="str">
        <f>"12/04/2015"</f>
        <v>12/04/2015</v>
      </c>
      <c r="B2817">
        <v>1</v>
      </c>
      <c r="C2817">
        <v>39000</v>
      </c>
      <c r="D2817">
        <v>62647</v>
      </c>
      <c r="E2817">
        <v>39000</v>
      </c>
      <c r="F2817">
        <v>39000</v>
      </c>
      <c r="G2817" s="1">
        <v>1E-3</v>
      </c>
      <c r="H2817" s="1">
        <v>1E-3</v>
      </c>
      <c r="I2817" s="1">
        <v>1E-3</v>
      </c>
      <c r="J2817" s="1">
        <v>0.51529999999999998</v>
      </c>
    </row>
    <row r="2818" spans="1:10" x14ac:dyDescent="0.2">
      <c r="A2818" t="str">
        <f>"08/04/2015"</f>
        <v>08/04/2015</v>
      </c>
      <c r="B2818">
        <v>4</v>
      </c>
      <c r="C2818">
        <v>39000</v>
      </c>
      <c r="D2818">
        <v>58346</v>
      </c>
      <c r="E2818">
        <v>39000</v>
      </c>
      <c r="F2818">
        <v>39000</v>
      </c>
      <c r="G2818" s="1">
        <v>1E-3</v>
      </c>
      <c r="H2818" s="1">
        <v>1E-3</v>
      </c>
      <c r="I2818" s="1">
        <v>1E-3</v>
      </c>
      <c r="J2818" s="1">
        <v>0.56769999999999998</v>
      </c>
    </row>
    <row r="2819" spans="1:10" x14ac:dyDescent="0.2">
      <c r="A2819" t="str">
        <f>"07/04/2015"</f>
        <v>07/04/2015</v>
      </c>
      <c r="B2819">
        <v>1</v>
      </c>
      <c r="C2819">
        <v>38000</v>
      </c>
      <c r="D2819">
        <v>66275</v>
      </c>
      <c r="E2819">
        <v>38000</v>
      </c>
      <c r="F2819">
        <v>38000</v>
      </c>
      <c r="G2819" s="1">
        <v>1E-3</v>
      </c>
      <c r="H2819" s="1">
        <v>1E-3</v>
      </c>
      <c r="I2819" s="1">
        <v>1E-3</v>
      </c>
      <c r="J2819" s="1">
        <v>0.47599999999999998</v>
      </c>
    </row>
    <row r="2820" spans="1:10" x14ac:dyDescent="0.2">
      <c r="A2820" t="str">
        <f>"06/04/2015"</f>
        <v>06/04/2015</v>
      </c>
      <c r="B2820">
        <v>1</v>
      </c>
      <c r="C2820">
        <v>39000</v>
      </c>
      <c r="D2820">
        <v>68805</v>
      </c>
      <c r="E2820">
        <v>39000</v>
      </c>
      <c r="F2820">
        <v>39000</v>
      </c>
      <c r="G2820" s="1">
        <v>1E-3</v>
      </c>
      <c r="H2820" s="1">
        <v>1E-3</v>
      </c>
      <c r="I2820" s="1">
        <v>1E-3</v>
      </c>
      <c r="J2820" s="1">
        <v>0.46250000000000002</v>
      </c>
    </row>
    <row r="2821" spans="1:10" x14ac:dyDescent="0.2">
      <c r="A2821" t="str">
        <f>"05/04/2015"</f>
        <v>05/04/2015</v>
      </c>
      <c r="B2821">
        <v>1</v>
      </c>
      <c r="C2821">
        <v>39000</v>
      </c>
      <c r="D2821">
        <v>69615</v>
      </c>
      <c r="E2821">
        <v>39000</v>
      </c>
      <c r="F2821">
        <v>39000</v>
      </c>
      <c r="G2821" s="1">
        <v>1E-3</v>
      </c>
      <c r="H2821" s="1">
        <v>1E-3</v>
      </c>
      <c r="I2821" s="1">
        <v>1E-3</v>
      </c>
      <c r="J2821" s="1">
        <v>0.46350000000000002</v>
      </c>
    </row>
    <row r="2822" spans="1:10" x14ac:dyDescent="0.2">
      <c r="A2822" t="str">
        <f>"02/04/2015"</f>
        <v>02/04/2015</v>
      </c>
      <c r="B2822">
        <v>3</v>
      </c>
      <c r="C2822">
        <v>38000</v>
      </c>
      <c r="D2822">
        <v>54383</v>
      </c>
      <c r="E2822">
        <v>38000</v>
      </c>
      <c r="F2822">
        <v>38000</v>
      </c>
      <c r="G2822" s="1">
        <v>1E-3</v>
      </c>
      <c r="H2822" s="1">
        <v>1E-3</v>
      </c>
      <c r="I2822" s="1">
        <v>1E-3</v>
      </c>
      <c r="J2822" s="1">
        <v>0.6048</v>
      </c>
    </row>
    <row r="2823" spans="1:10" x14ac:dyDescent="0.2">
      <c r="A2823" t="str">
        <f>"01/04/2015"</f>
        <v>01/04/2015</v>
      </c>
      <c r="B2823">
        <v>1</v>
      </c>
      <c r="C2823">
        <v>34000</v>
      </c>
      <c r="D2823">
        <v>47485</v>
      </c>
      <c r="E2823">
        <v>34000</v>
      </c>
      <c r="F2823">
        <v>34000</v>
      </c>
      <c r="G2823" s="1">
        <v>1E-3</v>
      </c>
      <c r="H2823" s="1">
        <v>1E-3</v>
      </c>
      <c r="I2823" s="1">
        <v>1E-3</v>
      </c>
      <c r="J2823" s="1">
        <v>0.60670000000000002</v>
      </c>
    </row>
    <row r="2824" spans="1:10" x14ac:dyDescent="0.2">
      <c r="A2824" t="str">
        <f>"31/03/2015"</f>
        <v>31/03/2015</v>
      </c>
      <c r="B2824">
        <v>1</v>
      </c>
      <c r="C2824">
        <v>30000</v>
      </c>
      <c r="D2824">
        <v>38165</v>
      </c>
      <c r="E2824">
        <v>30000</v>
      </c>
      <c r="F2824">
        <v>30000</v>
      </c>
      <c r="G2824" s="1">
        <v>1E-3</v>
      </c>
      <c r="H2824" s="1">
        <v>1E-3</v>
      </c>
      <c r="I2824" s="1">
        <v>1E-3</v>
      </c>
      <c r="J2824" s="1">
        <v>0.69369999999999998</v>
      </c>
    </row>
    <row r="2825" spans="1:10" x14ac:dyDescent="0.2">
      <c r="A2825" t="str">
        <f>"30/03/2015"</f>
        <v>30/03/2015</v>
      </c>
      <c r="B2825">
        <v>1</v>
      </c>
      <c r="C2825">
        <v>30000</v>
      </c>
      <c r="D2825">
        <v>37655</v>
      </c>
      <c r="E2825">
        <v>30000</v>
      </c>
      <c r="F2825">
        <v>30000</v>
      </c>
      <c r="G2825" s="1">
        <v>1E-3</v>
      </c>
      <c r="H2825" s="1">
        <v>1E-3</v>
      </c>
      <c r="I2825" s="1">
        <v>1E-3</v>
      </c>
      <c r="J2825" s="1">
        <v>0.72009999999999996</v>
      </c>
    </row>
    <row r="2826" spans="1:10" x14ac:dyDescent="0.2">
      <c r="A2826" t="str">
        <f>"29/03/2015"</f>
        <v>29/03/2015</v>
      </c>
      <c r="B2826">
        <v>1</v>
      </c>
      <c r="C2826">
        <v>30000</v>
      </c>
      <c r="D2826">
        <v>35417</v>
      </c>
      <c r="E2826">
        <v>30000</v>
      </c>
      <c r="F2826">
        <v>30000</v>
      </c>
      <c r="G2826" s="1">
        <v>1E-3</v>
      </c>
      <c r="H2826" s="1">
        <v>1E-3</v>
      </c>
      <c r="I2826" s="1">
        <v>1E-3</v>
      </c>
      <c r="J2826" s="1">
        <v>0.77510000000000001</v>
      </c>
    </row>
    <row r="2827" spans="1:10" x14ac:dyDescent="0.2">
      <c r="A2827" t="str">
        <f>"26/03/2015"</f>
        <v>26/03/2015</v>
      </c>
      <c r="B2827">
        <v>3</v>
      </c>
      <c r="C2827">
        <v>32000</v>
      </c>
      <c r="D2827">
        <v>34422</v>
      </c>
      <c r="E2827">
        <v>32000</v>
      </c>
      <c r="F2827">
        <v>32000</v>
      </c>
      <c r="G2827" s="1">
        <v>1E-3</v>
      </c>
      <c r="H2827" s="1">
        <v>1E-3</v>
      </c>
      <c r="I2827" s="1">
        <v>1E-3</v>
      </c>
      <c r="J2827" s="1">
        <v>0.89480000000000004</v>
      </c>
    </row>
    <row r="2828" spans="1:10" x14ac:dyDescent="0.2">
      <c r="A2828" t="str">
        <f>"25/03/2015"</f>
        <v>25/03/2015</v>
      </c>
      <c r="B2828">
        <v>1</v>
      </c>
      <c r="C2828">
        <v>26000</v>
      </c>
      <c r="D2828">
        <v>25213</v>
      </c>
      <c r="E2828">
        <v>25213</v>
      </c>
      <c r="F2828">
        <v>25213</v>
      </c>
      <c r="G2828" s="1">
        <v>1E-3</v>
      </c>
      <c r="H2828" s="1">
        <v>8.9999999999999998E-4</v>
      </c>
      <c r="I2828" s="1">
        <v>8.9999999999999998E-4</v>
      </c>
      <c r="J2828" s="1">
        <v>1</v>
      </c>
    </row>
    <row r="2829" spans="1:10" x14ac:dyDescent="0.2">
      <c r="A2829" t="str">
        <f>"24/03/2015"</f>
        <v>24/03/2015</v>
      </c>
      <c r="B2829">
        <v>1</v>
      </c>
      <c r="C2829">
        <v>26000</v>
      </c>
      <c r="D2829">
        <v>35222</v>
      </c>
      <c r="E2829">
        <v>26000</v>
      </c>
      <c r="F2829">
        <v>26000</v>
      </c>
      <c r="G2829" s="1">
        <v>1E-3</v>
      </c>
      <c r="H2829" s="1">
        <v>8.9999999999999998E-4</v>
      </c>
      <c r="I2829" s="1">
        <v>8.9999999999999998E-4</v>
      </c>
      <c r="J2829" s="1">
        <v>0.55659999999999998</v>
      </c>
    </row>
    <row r="2830" spans="1:10" x14ac:dyDescent="0.2">
      <c r="A2830" t="str">
        <f>"23/03/2015"</f>
        <v>23/03/2015</v>
      </c>
      <c r="B2830">
        <v>1</v>
      </c>
      <c r="C2830">
        <v>27000</v>
      </c>
      <c r="D2830">
        <v>44440</v>
      </c>
      <c r="E2830">
        <v>27000</v>
      </c>
      <c r="F2830">
        <v>27000</v>
      </c>
      <c r="G2830" s="1">
        <v>1E-3</v>
      </c>
      <c r="H2830" s="1">
        <v>1E-3</v>
      </c>
      <c r="I2830" s="1">
        <v>1E-3</v>
      </c>
      <c r="J2830" s="1">
        <v>0.4758</v>
      </c>
    </row>
    <row r="2831" spans="1:10" x14ac:dyDescent="0.2">
      <c r="A2831" t="str">
        <f>"22/03/2015"</f>
        <v>22/03/2015</v>
      </c>
      <c r="B2831">
        <v>1</v>
      </c>
      <c r="C2831">
        <v>29000</v>
      </c>
      <c r="D2831">
        <v>55100</v>
      </c>
      <c r="E2831">
        <v>29000</v>
      </c>
      <c r="F2831">
        <v>29000</v>
      </c>
      <c r="G2831" s="1">
        <v>1E-3</v>
      </c>
      <c r="H2831" s="1">
        <v>1E-3</v>
      </c>
      <c r="I2831" s="1">
        <v>1E-3</v>
      </c>
      <c r="J2831" s="1">
        <v>0.41349999999999998</v>
      </c>
    </row>
    <row r="2832" spans="1:10" x14ac:dyDescent="0.2">
      <c r="A2832" t="str">
        <f>"19/03/2015"</f>
        <v>19/03/2015</v>
      </c>
      <c r="B2832">
        <v>3</v>
      </c>
      <c r="C2832">
        <v>29000</v>
      </c>
      <c r="D2832">
        <v>64692</v>
      </c>
      <c r="E2832">
        <v>29000</v>
      </c>
      <c r="F2832">
        <v>29000</v>
      </c>
      <c r="G2832" s="1">
        <v>1E-3</v>
      </c>
      <c r="H2832" s="1">
        <v>1E-3</v>
      </c>
      <c r="I2832" s="1">
        <v>1E-3</v>
      </c>
      <c r="J2832" s="1">
        <v>0.32519999999999999</v>
      </c>
    </row>
    <row r="2833" spans="1:10" x14ac:dyDescent="0.2">
      <c r="A2833" t="str">
        <f>"18/03/2015"</f>
        <v>18/03/2015</v>
      </c>
      <c r="B2833">
        <v>1</v>
      </c>
      <c r="C2833">
        <v>27000</v>
      </c>
      <c r="D2833">
        <v>65131</v>
      </c>
      <c r="E2833">
        <v>27000</v>
      </c>
      <c r="F2833">
        <v>27000</v>
      </c>
      <c r="G2833" s="1">
        <v>1E-3</v>
      </c>
      <c r="H2833" s="1">
        <v>1E-3</v>
      </c>
      <c r="I2833" s="1">
        <v>1E-3</v>
      </c>
      <c r="J2833" s="1">
        <v>0.2681</v>
      </c>
    </row>
    <row r="2834" spans="1:10" x14ac:dyDescent="0.2">
      <c r="A2834" t="str">
        <f>"16/03/2015"</f>
        <v>16/03/2015</v>
      </c>
      <c r="B2834">
        <v>2</v>
      </c>
      <c r="C2834">
        <v>28000</v>
      </c>
      <c r="D2834">
        <v>65352</v>
      </c>
      <c r="E2834">
        <v>28000</v>
      </c>
      <c r="F2834">
        <v>28000</v>
      </c>
      <c r="G2834" s="1">
        <v>1E-3</v>
      </c>
      <c r="H2834" s="1">
        <v>8.9999999999999998E-4</v>
      </c>
      <c r="I2834" s="1">
        <v>8.9999999999999998E-4</v>
      </c>
      <c r="J2834" s="1">
        <v>0.26169999999999999</v>
      </c>
    </row>
    <row r="2835" spans="1:10" x14ac:dyDescent="0.2">
      <c r="A2835" t="str">
        <f>"15/03/2015"</f>
        <v>15/03/2015</v>
      </c>
      <c r="B2835">
        <v>1</v>
      </c>
      <c r="C2835">
        <v>40000</v>
      </c>
      <c r="D2835">
        <v>84366</v>
      </c>
      <c r="E2835">
        <v>40000</v>
      </c>
      <c r="F2835">
        <v>40000</v>
      </c>
      <c r="G2835" s="1">
        <v>1E-3</v>
      </c>
      <c r="H2835" s="1">
        <v>1E-3</v>
      </c>
      <c r="I2835" s="1">
        <v>1E-3</v>
      </c>
      <c r="J2835" s="1">
        <v>0.34520000000000001</v>
      </c>
    </row>
    <row r="2836" spans="1:10" x14ac:dyDescent="0.2">
      <c r="A2836" t="str">
        <f>"12/03/2015"</f>
        <v>12/03/2015</v>
      </c>
      <c r="B2836">
        <v>3</v>
      </c>
      <c r="C2836">
        <v>44000</v>
      </c>
      <c r="D2836">
        <v>86486</v>
      </c>
      <c r="E2836">
        <v>44000</v>
      </c>
      <c r="F2836">
        <v>44000</v>
      </c>
      <c r="G2836" s="1">
        <v>1E-3</v>
      </c>
      <c r="H2836" s="1">
        <v>1E-3</v>
      </c>
      <c r="I2836" s="1">
        <v>1E-3</v>
      </c>
      <c r="J2836" s="1">
        <v>0.38250000000000001</v>
      </c>
    </row>
    <row r="2837" spans="1:10" x14ac:dyDescent="0.2">
      <c r="A2837" t="str">
        <f>"11/03/2015"</f>
        <v>11/03/2015</v>
      </c>
      <c r="B2837">
        <v>1</v>
      </c>
      <c r="C2837">
        <v>44000</v>
      </c>
      <c r="D2837">
        <v>96445</v>
      </c>
      <c r="E2837">
        <v>44000</v>
      </c>
      <c r="F2837">
        <v>44000</v>
      </c>
      <c r="G2837" s="1">
        <v>1E-3</v>
      </c>
      <c r="H2837" s="1">
        <v>1E-3</v>
      </c>
      <c r="I2837" s="1">
        <v>1E-3</v>
      </c>
      <c r="J2837" s="1">
        <v>0.33910000000000001</v>
      </c>
    </row>
    <row r="2838" spans="1:10" x14ac:dyDescent="0.2">
      <c r="A2838" t="str">
        <f>"10/03/2015"</f>
        <v>10/03/2015</v>
      </c>
      <c r="B2838">
        <v>1</v>
      </c>
      <c r="C2838">
        <v>43000</v>
      </c>
      <c r="D2838">
        <v>91876</v>
      </c>
      <c r="E2838">
        <v>43000</v>
      </c>
      <c r="F2838">
        <v>43000</v>
      </c>
      <c r="G2838" s="1">
        <v>1E-3</v>
      </c>
      <c r="H2838" s="1">
        <v>1E-3</v>
      </c>
      <c r="I2838" s="1">
        <v>1E-3</v>
      </c>
      <c r="J2838" s="1">
        <v>0.3422</v>
      </c>
    </row>
    <row r="2839" spans="1:10" x14ac:dyDescent="0.2">
      <c r="A2839" t="str">
        <f>"09/03/2015"</f>
        <v>09/03/2015</v>
      </c>
      <c r="B2839">
        <v>1</v>
      </c>
      <c r="C2839">
        <v>44000</v>
      </c>
      <c r="D2839">
        <v>85471</v>
      </c>
      <c r="E2839">
        <v>44000</v>
      </c>
      <c r="F2839">
        <v>44000</v>
      </c>
      <c r="G2839" s="1">
        <v>1E-3</v>
      </c>
      <c r="H2839" s="1">
        <v>1E-3</v>
      </c>
      <c r="I2839" s="1">
        <v>1E-3</v>
      </c>
      <c r="J2839" s="1">
        <v>0.36969999999999997</v>
      </c>
    </row>
    <row r="2840" spans="1:10" x14ac:dyDescent="0.2">
      <c r="A2840" t="str">
        <f>"08/03/2015"</f>
        <v>08/03/2015</v>
      </c>
      <c r="B2840">
        <v>1</v>
      </c>
      <c r="C2840">
        <v>44000</v>
      </c>
      <c r="D2840">
        <v>87064</v>
      </c>
      <c r="E2840">
        <v>44000</v>
      </c>
      <c r="F2840">
        <v>44000</v>
      </c>
      <c r="G2840" s="1">
        <v>1E-3</v>
      </c>
      <c r="H2840" s="1">
        <v>1E-3</v>
      </c>
      <c r="I2840" s="1">
        <v>1E-3</v>
      </c>
      <c r="J2840" s="1">
        <v>0.37069999999999997</v>
      </c>
    </row>
    <row r="2841" spans="1:10" x14ac:dyDescent="0.2">
      <c r="A2841" t="str">
        <f>"04/03/2015"</f>
        <v>04/03/2015</v>
      </c>
      <c r="B2841">
        <v>4</v>
      </c>
      <c r="C2841">
        <v>44000</v>
      </c>
      <c r="D2841">
        <v>87676</v>
      </c>
      <c r="E2841">
        <v>44000</v>
      </c>
      <c r="F2841">
        <v>44000</v>
      </c>
      <c r="G2841" s="1">
        <v>1E-3</v>
      </c>
      <c r="H2841" s="1">
        <v>1E-3</v>
      </c>
      <c r="I2841" s="1">
        <v>1E-3</v>
      </c>
      <c r="J2841" s="1">
        <v>0.38390000000000002</v>
      </c>
    </row>
    <row r="2842" spans="1:10" x14ac:dyDescent="0.2">
      <c r="A2842" t="str">
        <f>"03/03/2015"</f>
        <v>03/03/2015</v>
      </c>
      <c r="B2842">
        <v>1</v>
      </c>
      <c r="C2842">
        <v>43000</v>
      </c>
      <c r="D2842">
        <v>80435</v>
      </c>
      <c r="E2842">
        <v>43000</v>
      </c>
      <c r="F2842">
        <v>43000</v>
      </c>
      <c r="G2842" s="1">
        <v>1E-3</v>
      </c>
      <c r="H2842" s="1">
        <v>1E-3</v>
      </c>
      <c r="I2842" s="1">
        <v>1E-3</v>
      </c>
      <c r="J2842" s="1">
        <v>0.40279999999999999</v>
      </c>
    </row>
    <row r="2843" spans="1:10" x14ac:dyDescent="0.2">
      <c r="A2843" t="str">
        <f>"02/03/2015"</f>
        <v>02/03/2015</v>
      </c>
      <c r="B2843">
        <v>1</v>
      </c>
      <c r="C2843">
        <v>44000</v>
      </c>
      <c r="D2843">
        <v>80743</v>
      </c>
      <c r="E2843">
        <v>44000</v>
      </c>
      <c r="F2843">
        <v>44000</v>
      </c>
      <c r="G2843" s="1">
        <v>1E-3</v>
      </c>
      <c r="H2843" s="1">
        <v>1E-3</v>
      </c>
      <c r="I2843" s="1">
        <v>1E-3</v>
      </c>
      <c r="J2843" s="1">
        <v>0.40350000000000003</v>
      </c>
    </row>
    <row r="2844" spans="1:10" x14ac:dyDescent="0.2">
      <c r="A2844" t="str">
        <f>"01/03/2015"</f>
        <v>01/03/2015</v>
      </c>
      <c r="B2844">
        <v>1</v>
      </c>
      <c r="C2844">
        <v>45000</v>
      </c>
      <c r="D2844">
        <v>81065</v>
      </c>
      <c r="E2844">
        <v>45000</v>
      </c>
      <c r="F2844">
        <v>45000</v>
      </c>
      <c r="G2844" s="1">
        <v>1E-3</v>
      </c>
      <c r="H2844" s="1">
        <v>1E-3</v>
      </c>
      <c r="I2844" s="1">
        <v>1E-3</v>
      </c>
      <c r="J2844" s="1">
        <v>0.41539999999999999</v>
      </c>
    </row>
    <row r="2845" spans="1:10" x14ac:dyDescent="0.2">
      <c r="A2845" t="str">
        <f>"26/02/2015"</f>
        <v>26/02/2015</v>
      </c>
      <c r="B2845">
        <v>3</v>
      </c>
      <c r="C2845">
        <v>35000</v>
      </c>
      <c r="D2845">
        <v>61613</v>
      </c>
      <c r="E2845">
        <v>35000</v>
      </c>
      <c r="F2845">
        <v>35000</v>
      </c>
      <c r="G2845" s="1">
        <v>1E-3</v>
      </c>
      <c r="H2845" s="1">
        <v>1E-3</v>
      </c>
      <c r="I2845" s="1">
        <v>1E-3</v>
      </c>
      <c r="J2845" s="1">
        <v>0.44240000000000002</v>
      </c>
    </row>
    <row r="2846" spans="1:10" x14ac:dyDescent="0.2">
      <c r="A2846" t="str">
        <f>"25/02/2015"</f>
        <v>25/02/2015</v>
      </c>
      <c r="B2846">
        <v>1</v>
      </c>
      <c r="C2846">
        <v>36000</v>
      </c>
      <c r="D2846">
        <v>35206</v>
      </c>
      <c r="E2846">
        <v>35206</v>
      </c>
      <c r="F2846">
        <v>35206</v>
      </c>
      <c r="G2846" s="1">
        <v>2.5000000000000001E-3</v>
      </c>
      <c r="H2846" s="1">
        <v>2.3999999999999998E-3</v>
      </c>
      <c r="I2846" s="1">
        <v>2.3999999999999998E-3</v>
      </c>
      <c r="J2846" s="1">
        <v>1</v>
      </c>
    </row>
    <row r="2847" spans="1:10" x14ac:dyDescent="0.2">
      <c r="A2847" t="str">
        <f>"24/02/2015"</f>
        <v>24/02/2015</v>
      </c>
      <c r="B2847">
        <v>1</v>
      </c>
      <c r="C2847">
        <v>35000</v>
      </c>
      <c r="D2847">
        <v>69257</v>
      </c>
      <c r="E2847">
        <v>35000</v>
      </c>
      <c r="F2847">
        <v>35000</v>
      </c>
      <c r="G2847" s="1">
        <v>2.5000000000000001E-3</v>
      </c>
      <c r="H2847" s="1">
        <v>2.3999999999999998E-3</v>
      </c>
      <c r="I2847" s="1">
        <v>2.3999999999999998E-3</v>
      </c>
      <c r="J2847" s="1">
        <v>0.29370000000000002</v>
      </c>
    </row>
    <row r="2848" spans="1:10" x14ac:dyDescent="0.2">
      <c r="A2848" t="str">
        <f>"23/02/2015"</f>
        <v>23/02/2015</v>
      </c>
      <c r="B2848">
        <v>1</v>
      </c>
      <c r="C2848">
        <v>36000</v>
      </c>
      <c r="D2848">
        <v>81669</v>
      </c>
      <c r="E2848">
        <v>36000</v>
      </c>
      <c r="F2848">
        <v>36000</v>
      </c>
      <c r="G2848" s="1">
        <v>2.5000000000000001E-3</v>
      </c>
      <c r="H2848" s="1">
        <v>2.3999999999999998E-3</v>
      </c>
      <c r="I2848" s="1">
        <v>2.3999999999999998E-3</v>
      </c>
      <c r="J2848" s="1">
        <v>0.26340000000000002</v>
      </c>
    </row>
    <row r="2849" spans="1:10" x14ac:dyDescent="0.2">
      <c r="A2849" t="str">
        <f>"22/02/2015"</f>
        <v>22/02/2015</v>
      </c>
      <c r="B2849">
        <v>1</v>
      </c>
      <c r="C2849">
        <v>37000</v>
      </c>
      <c r="D2849">
        <v>94708</v>
      </c>
      <c r="E2849">
        <v>37000</v>
      </c>
      <c r="F2849">
        <v>37000</v>
      </c>
      <c r="G2849" s="1">
        <v>2.5000000000000001E-3</v>
      </c>
      <c r="H2849" s="1">
        <v>2.3999999999999998E-3</v>
      </c>
      <c r="I2849" s="1">
        <v>2.3999999999999998E-3</v>
      </c>
      <c r="J2849" s="1">
        <v>0.2341</v>
      </c>
    </row>
    <row r="2850" spans="1:10" x14ac:dyDescent="0.2">
      <c r="A2850" t="str">
        <f>"19/02/2015"</f>
        <v>19/02/2015</v>
      </c>
      <c r="B2850">
        <v>3</v>
      </c>
      <c r="C2850">
        <v>39000</v>
      </c>
      <c r="D2850">
        <v>102617</v>
      </c>
      <c r="E2850">
        <v>39000</v>
      </c>
      <c r="F2850">
        <v>39000</v>
      </c>
      <c r="G2850" s="1">
        <v>2.5000000000000001E-3</v>
      </c>
      <c r="H2850" s="1">
        <v>2.3999999999999998E-3</v>
      </c>
      <c r="I2850" s="1">
        <v>2.3999999999999998E-3</v>
      </c>
      <c r="J2850" s="1">
        <v>0.23219999999999999</v>
      </c>
    </row>
    <row r="2851" spans="1:10" x14ac:dyDescent="0.2">
      <c r="A2851" t="str">
        <f>"18/02/2015"</f>
        <v>18/02/2015</v>
      </c>
      <c r="B2851">
        <v>1</v>
      </c>
      <c r="C2851">
        <v>40000</v>
      </c>
      <c r="D2851">
        <v>99106</v>
      </c>
      <c r="E2851">
        <v>40000</v>
      </c>
      <c r="F2851">
        <v>40000</v>
      </c>
      <c r="G2851" s="1">
        <v>2.5000000000000001E-3</v>
      </c>
      <c r="H2851" s="1">
        <v>2.3999999999999998E-3</v>
      </c>
      <c r="I2851" s="1">
        <v>2.3999999999999998E-3</v>
      </c>
      <c r="J2851" s="1">
        <v>0.23769999999999999</v>
      </c>
    </row>
    <row r="2852" spans="1:10" x14ac:dyDescent="0.2">
      <c r="A2852" t="str">
        <f>"17/02/2015"</f>
        <v>17/02/2015</v>
      </c>
      <c r="B2852">
        <v>1</v>
      </c>
      <c r="C2852">
        <v>41000</v>
      </c>
      <c r="D2852">
        <v>95025</v>
      </c>
      <c r="E2852">
        <v>41000</v>
      </c>
      <c r="F2852">
        <v>41000</v>
      </c>
      <c r="G2852" s="1">
        <v>2.5000000000000001E-3</v>
      </c>
      <c r="H2852" s="1">
        <v>2.3999999999999998E-3</v>
      </c>
      <c r="I2852" s="1">
        <v>2.3999999999999998E-3</v>
      </c>
      <c r="J2852" s="1">
        <v>0.26090000000000002</v>
      </c>
    </row>
    <row r="2853" spans="1:10" x14ac:dyDescent="0.2">
      <c r="A2853" t="str">
        <f>"16/02/2015"</f>
        <v>16/02/2015</v>
      </c>
      <c r="B2853">
        <v>1</v>
      </c>
      <c r="C2853">
        <v>42000</v>
      </c>
      <c r="D2853">
        <v>90092</v>
      </c>
      <c r="E2853">
        <v>42000</v>
      </c>
      <c r="F2853">
        <v>42000</v>
      </c>
      <c r="G2853" s="1">
        <v>2.5000000000000001E-3</v>
      </c>
      <c r="H2853" s="1">
        <v>2.3999999999999998E-3</v>
      </c>
      <c r="I2853" s="1">
        <v>2.3999999999999998E-3</v>
      </c>
      <c r="J2853" s="1">
        <v>0.29899999999999999</v>
      </c>
    </row>
    <row r="2854" spans="1:10" x14ac:dyDescent="0.2">
      <c r="A2854" t="str">
        <f>"15/02/2015"</f>
        <v>15/02/2015</v>
      </c>
      <c r="B2854">
        <v>1</v>
      </c>
      <c r="C2854">
        <v>54000</v>
      </c>
      <c r="D2854">
        <v>109454</v>
      </c>
      <c r="E2854">
        <v>54000</v>
      </c>
      <c r="F2854">
        <v>54000</v>
      </c>
      <c r="G2854" s="1">
        <v>2.5000000000000001E-3</v>
      </c>
      <c r="H2854" s="1">
        <v>2.5000000000000001E-3</v>
      </c>
      <c r="I2854" s="1">
        <v>2.5000000000000001E-3</v>
      </c>
      <c r="J2854" s="1">
        <v>0.36220000000000002</v>
      </c>
    </row>
    <row r="2855" spans="1:10" x14ac:dyDescent="0.2">
      <c r="A2855" t="str">
        <f>"12/02/2015"</f>
        <v>12/02/2015</v>
      </c>
      <c r="B2855">
        <v>3</v>
      </c>
      <c r="C2855">
        <v>54000</v>
      </c>
      <c r="D2855">
        <v>112643</v>
      </c>
      <c r="E2855">
        <v>54000</v>
      </c>
      <c r="F2855">
        <v>54000</v>
      </c>
      <c r="G2855" s="1">
        <v>2.5000000000000001E-3</v>
      </c>
      <c r="H2855" s="1">
        <v>2.5000000000000001E-3</v>
      </c>
      <c r="I2855" s="1">
        <v>2.5000000000000001E-3</v>
      </c>
      <c r="J2855" s="1">
        <v>0.35439999999999999</v>
      </c>
    </row>
    <row r="2856" spans="1:10" x14ac:dyDescent="0.2">
      <c r="A2856" t="str">
        <f>"11/02/2015"</f>
        <v>11/02/2015</v>
      </c>
      <c r="B2856">
        <v>1</v>
      </c>
      <c r="C2856">
        <v>54000</v>
      </c>
      <c r="D2856">
        <v>106758</v>
      </c>
      <c r="E2856">
        <v>54000</v>
      </c>
      <c r="F2856">
        <v>54000</v>
      </c>
      <c r="G2856" s="1">
        <v>2.5000000000000001E-3</v>
      </c>
      <c r="H2856" s="1">
        <v>2.5000000000000001E-3</v>
      </c>
      <c r="I2856" s="1">
        <v>2.5000000000000001E-3</v>
      </c>
      <c r="J2856" s="1">
        <v>0.36380000000000001</v>
      </c>
    </row>
    <row r="2857" spans="1:10" x14ac:dyDescent="0.2">
      <c r="A2857" t="str">
        <f>"10/02/2015"</f>
        <v>10/02/2015</v>
      </c>
      <c r="B2857">
        <v>1</v>
      </c>
      <c r="C2857">
        <v>54000</v>
      </c>
      <c r="D2857">
        <v>111483</v>
      </c>
      <c r="E2857">
        <v>54000</v>
      </c>
      <c r="F2857">
        <v>54000</v>
      </c>
      <c r="G2857" s="1">
        <v>2.5000000000000001E-3</v>
      </c>
      <c r="H2857" s="1">
        <v>2.5000000000000001E-3</v>
      </c>
      <c r="I2857" s="1">
        <v>2.5000000000000001E-3</v>
      </c>
      <c r="J2857" s="1">
        <v>0.34110000000000001</v>
      </c>
    </row>
    <row r="2858" spans="1:10" x14ac:dyDescent="0.2">
      <c r="A2858" t="str">
        <f>"09/02/2015"</f>
        <v>09/02/2015</v>
      </c>
      <c r="B2858">
        <v>1</v>
      </c>
      <c r="C2858">
        <v>53000</v>
      </c>
      <c r="D2858">
        <v>113997</v>
      </c>
      <c r="E2858">
        <v>53000</v>
      </c>
      <c r="F2858">
        <v>53000</v>
      </c>
      <c r="G2858" s="1">
        <v>2.5000000000000001E-3</v>
      </c>
      <c r="H2858" s="1">
        <v>2.5000000000000001E-3</v>
      </c>
      <c r="I2858" s="1">
        <v>2.5000000000000001E-3</v>
      </c>
      <c r="J2858" s="1">
        <v>0.32150000000000001</v>
      </c>
    </row>
    <row r="2859" spans="1:10" x14ac:dyDescent="0.2">
      <c r="A2859" t="str">
        <f>"08/02/2015"</f>
        <v>08/02/2015</v>
      </c>
      <c r="B2859">
        <v>1</v>
      </c>
      <c r="C2859">
        <v>51000</v>
      </c>
      <c r="D2859">
        <v>108483</v>
      </c>
      <c r="E2859">
        <v>51000</v>
      </c>
      <c r="F2859">
        <v>51000</v>
      </c>
      <c r="G2859" s="1">
        <v>2.5000000000000001E-3</v>
      </c>
      <c r="H2859" s="1">
        <v>2.5000000000000001E-3</v>
      </c>
      <c r="I2859" s="1">
        <v>2.5000000000000001E-3</v>
      </c>
      <c r="J2859" s="1">
        <v>0.3236</v>
      </c>
    </row>
    <row r="2860" spans="1:10" x14ac:dyDescent="0.2">
      <c r="A2860" t="str">
        <f>"05/02/2015"</f>
        <v>05/02/2015</v>
      </c>
      <c r="B2860">
        <v>3</v>
      </c>
      <c r="C2860">
        <v>51000</v>
      </c>
      <c r="D2860">
        <v>104583</v>
      </c>
      <c r="E2860">
        <v>51000</v>
      </c>
      <c r="F2860">
        <v>51000</v>
      </c>
      <c r="G2860" s="1">
        <v>2.5000000000000001E-3</v>
      </c>
      <c r="H2860" s="1">
        <v>2.5000000000000001E-3</v>
      </c>
      <c r="I2860" s="1">
        <v>2.5000000000000001E-3</v>
      </c>
      <c r="J2860" s="1">
        <v>0.34649999999999997</v>
      </c>
    </row>
    <row r="2861" spans="1:10" x14ac:dyDescent="0.2">
      <c r="A2861" t="str">
        <f>"04/02/2015"</f>
        <v>04/02/2015</v>
      </c>
      <c r="B2861">
        <v>1</v>
      </c>
      <c r="C2861">
        <v>56000</v>
      </c>
      <c r="D2861">
        <v>118453</v>
      </c>
      <c r="E2861">
        <v>56000</v>
      </c>
      <c r="F2861">
        <v>56000</v>
      </c>
      <c r="G2861" s="1">
        <v>2.5000000000000001E-3</v>
      </c>
      <c r="H2861" s="1">
        <v>2.5000000000000001E-3</v>
      </c>
      <c r="I2861" s="1">
        <v>2.5000000000000001E-3</v>
      </c>
      <c r="J2861" s="1">
        <v>0.35959999999999998</v>
      </c>
    </row>
    <row r="2862" spans="1:10" x14ac:dyDescent="0.2">
      <c r="A2862" t="str">
        <f>"03/02/2015"</f>
        <v>03/02/2015</v>
      </c>
      <c r="B2862">
        <v>1</v>
      </c>
      <c r="C2862">
        <v>55000</v>
      </c>
      <c r="D2862">
        <v>108018</v>
      </c>
      <c r="E2862">
        <v>55000</v>
      </c>
      <c r="F2862">
        <v>55000</v>
      </c>
      <c r="G2862" s="1">
        <v>2.5000000000000001E-3</v>
      </c>
      <c r="H2862" s="1">
        <v>2.5000000000000001E-3</v>
      </c>
      <c r="I2862" s="1">
        <v>2.5000000000000001E-3</v>
      </c>
      <c r="J2862" s="1">
        <v>0.41099999999999998</v>
      </c>
    </row>
    <row r="2863" spans="1:10" x14ac:dyDescent="0.2">
      <c r="A2863" t="str">
        <f>"02/02/2015"</f>
        <v>02/02/2015</v>
      </c>
      <c r="B2863">
        <v>1</v>
      </c>
      <c r="C2863">
        <v>56000</v>
      </c>
      <c r="D2863">
        <v>96067</v>
      </c>
      <c r="E2863">
        <v>56000</v>
      </c>
      <c r="F2863">
        <v>56000</v>
      </c>
      <c r="G2863" s="1">
        <v>2.5000000000000001E-3</v>
      </c>
      <c r="H2863" s="1">
        <v>2.5000000000000001E-3</v>
      </c>
      <c r="I2863" s="1">
        <v>2.5000000000000001E-3</v>
      </c>
      <c r="J2863" s="1">
        <v>0.49880000000000002</v>
      </c>
    </row>
    <row r="2864" spans="1:10" x14ac:dyDescent="0.2">
      <c r="A2864" t="str">
        <f>"01/02/2015"</f>
        <v>01/02/2015</v>
      </c>
      <c r="B2864">
        <v>1</v>
      </c>
      <c r="C2864">
        <v>54000</v>
      </c>
      <c r="D2864">
        <v>75800</v>
      </c>
      <c r="E2864">
        <v>54000</v>
      </c>
      <c r="F2864">
        <v>54000</v>
      </c>
      <c r="G2864" s="1">
        <v>2.5000000000000001E-3</v>
      </c>
      <c r="H2864" s="1">
        <v>2.5000000000000001E-3</v>
      </c>
      <c r="I2864" s="1">
        <v>2.5000000000000001E-3</v>
      </c>
      <c r="J2864" s="1">
        <v>0.59440000000000004</v>
      </c>
    </row>
    <row r="2865" spans="1:10" x14ac:dyDescent="0.2">
      <c r="A2865" t="str">
        <f>"30/01/2015"</f>
        <v>30/01/2015</v>
      </c>
      <c r="B2865">
        <v>2</v>
      </c>
      <c r="C2865">
        <v>12000</v>
      </c>
      <c r="D2865">
        <v>6610</v>
      </c>
      <c r="E2865">
        <v>6610</v>
      </c>
      <c r="F2865">
        <v>6610</v>
      </c>
      <c r="G2865" s="1">
        <v>2.5000000000000001E-3</v>
      </c>
      <c r="H2865" s="1">
        <v>2.5000000000000001E-3</v>
      </c>
      <c r="I2865" s="1">
        <v>2.5000000000000001E-3</v>
      </c>
      <c r="J2865" s="1">
        <v>1</v>
      </c>
    </row>
    <row r="2866" spans="1:10" x14ac:dyDescent="0.2">
      <c r="A2866" t="str">
        <f>"29/01/2015"</f>
        <v>29/01/2015</v>
      </c>
      <c r="B2866">
        <v>3</v>
      </c>
      <c r="C2866">
        <v>34000</v>
      </c>
      <c r="D2866">
        <v>44204</v>
      </c>
      <c r="E2866">
        <v>34000</v>
      </c>
      <c r="F2866">
        <v>34000</v>
      </c>
      <c r="G2866" s="1">
        <v>2.5000000000000001E-3</v>
      </c>
      <c r="H2866" s="1">
        <v>2.5000000000000001E-3</v>
      </c>
      <c r="I2866" s="1">
        <v>2.5000000000000001E-3</v>
      </c>
      <c r="J2866" s="1">
        <v>0.66979999999999995</v>
      </c>
    </row>
    <row r="2867" spans="1:10" x14ac:dyDescent="0.2">
      <c r="A2867" t="str">
        <f>"28/01/2015"</f>
        <v>28/01/2015</v>
      </c>
      <c r="B2867">
        <v>1</v>
      </c>
      <c r="C2867">
        <v>28000</v>
      </c>
      <c r="D2867">
        <v>24832</v>
      </c>
      <c r="E2867">
        <v>24832</v>
      </c>
      <c r="F2867">
        <v>24832</v>
      </c>
      <c r="G2867" s="1">
        <v>2.5000000000000001E-3</v>
      </c>
      <c r="H2867" s="1">
        <v>2.3999999999999998E-3</v>
      </c>
      <c r="I2867" s="1">
        <v>2.3999999999999998E-3</v>
      </c>
      <c r="J2867" s="1">
        <v>1</v>
      </c>
    </row>
    <row r="2868" spans="1:10" x14ac:dyDescent="0.2">
      <c r="A2868" t="str">
        <f>"27/01/2015"</f>
        <v>27/01/2015</v>
      </c>
      <c r="B2868">
        <v>1</v>
      </c>
      <c r="C2868">
        <v>26000</v>
      </c>
      <c r="D2868">
        <v>37133</v>
      </c>
      <c r="E2868">
        <v>26000</v>
      </c>
      <c r="F2868">
        <v>26000</v>
      </c>
      <c r="G2868" s="1">
        <v>2.5000000000000001E-3</v>
      </c>
      <c r="H2868" s="1">
        <v>2.5000000000000001E-3</v>
      </c>
      <c r="I2868" s="1">
        <v>2.5000000000000001E-3</v>
      </c>
      <c r="J2868" s="1">
        <v>0.55469999999999997</v>
      </c>
    </row>
    <row r="2869" spans="1:10" x14ac:dyDescent="0.2">
      <c r="A2869" t="str">
        <f>"26/01/2015"</f>
        <v>26/01/2015</v>
      </c>
      <c r="B2869">
        <v>1</v>
      </c>
      <c r="C2869">
        <v>29000</v>
      </c>
      <c r="D2869">
        <v>49299</v>
      </c>
      <c r="E2869">
        <v>29000</v>
      </c>
      <c r="F2869">
        <v>29000</v>
      </c>
      <c r="G2869" s="1">
        <v>2.5000000000000001E-3</v>
      </c>
      <c r="H2869" s="1">
        <v>2.3999999999999998E-3</v>
      </c>
      <c r="I2869" s="1">
        <v>2.3999999999999998E-3</v>
      </c>
      <c r="J2869" s="1">
        <v>0.41160000000000002</v>
      </c>
    </row>
    <row r="2870" spans="1:10" x14ac:dyDescent="0.2">
      <c r="A2870" t="str">
        <f>"25/01/2015"</f>
        <v>25/01/2015</v>
      </c>
      <c r="B2870">
        <v>1</v>
      </c>
      <c r="C2870">
        <v>30000</v>
      </c>
      <c r="D2870">
        <v>54772</v>
      </c>
      <c r="E2870">
        <v>30000</v>
      </c>
      <c r="F2870">
        <v>30000</v>
      </c>
      <c r="G2870" s="1">
        <v>2.5000000000000001E-3</v>
      </c>
      <c r="H2870" s="1">
        <v>2.3999999999999998E-3</v>
      </c>
      <c r="I2870" s="1">
        <v>2.3999999999999998E-3</v>
      </c>
      <c r="J2870" s="1">
        <v>0.33439999999999998</v>
      </c>
    </row>
    <row r="2871" spans="1:10" x14ac:dyDescent="0.2">
      <c r="A2871" t="str">
        <f>"22/01/2015"</f>
        <v>22/01/2015</v>
      </c>
      <c r="B2871">
        <v>3</v>
      </c>
      <c r="C2871">
        <v>29000</v>
      </c>
      <c r="D2871">
        <v>59021</v>
      </c>
      <c r="E2871">
        <v>29000</v>
      </c>
      <c r="F2871">
        <v>29000</v>
      </c>
      <c r="G2871" s="1">
        <v>2.5000000000000001E-3</v>
      </c>
      <c r="H2871" s="1">
        <v>2.3999999999999998E-3</v>
      </c>
      <c r="I2871" s="1">
        <v>2.3999999999999998E-3</v>
      </c>
      <c r="J2871" s="1">
        <v>0.30299999999999999</v>
      </c>
    </row>
    <row r="2872" spans="1:10" x14ac:dyDescent="0.2">
      <c r="A2872" t="str">
        <f>"21/01/2015"</f>
        <v>21/01/2015</v>
      </c>
      <c r="B2872">
        <v>1</v>
      </c>
      <c r="C2872">
        <v>31000</v>
      </c>
      <c r="D2872">
        <v>69331</v>
      </c>
      <c r="E2872">
        <v>31000</v>
      </c>
      <c r="F2872">
        <v>31000</v>
      </c>
      <c r="G2872" s="1">
        <v>2.5000000000000001E-3</v>
      </c>
      <c r="H2872" s="1">
        <v>2.3999999999999998E-3</v>
      </c>
      <c r="I2872" s="1">
        <v>2.3999999999999998E-3</v>
      </c>
      <c r="J2872" s="1">
        <v>0.26850000000000002</v>
      </c>
    </row>
    <row r="2873" spans="1:10" x14ac:dyDescent="0.2">
      <c r="A2873" t="str">
        <f>"20/01/2015"</f>
        <v>20/01/2015</v>
      </c>
      <c r="B2873">
        <v>1</v>
      </c>
      <c r="C2873">
        <v>32000</v>
      </c>
      <c r="D2873">
        <v>57117</v>
      </c>
      <c r="E2873">
        <v>32000</v>
      </c>
      <c r="F2873">
        <v>32000</v>
      </c>
      <c r="G2873" s="1">
        <v>2.5000000000000001E-3</v>
      </c>
      <c r="H2873" s="1">
        <v>2.3999999999999998E-3</v>
      </c>
      <c r="I2873" s="1">
        <v>2.3999999999999998E-3</v>
      </c>
      <c r="J2873" s="1">
        <v>0.3886</v>
      </c>
    </row>
    <row r="2874" spans="1:10" x14ac:dyDescent="0.2">
      <c r="A2874" t="str">
        <f>"19/01/2015"</f>
        <v>19/01/2015</v>
      </c>
      <c r="B2874">
        <v>1</v>
      </c>
      <c r="C2874">
        <v>34000</v>
      </c>
      <c r="D2874">
        <v>58368</v>
      </c>
      <c r="E2874">
        <v>34000</v>
      </c>
      <c r="F2874">
        <v>34000</v>
      </c>
      <c r="G2874" s="1">
        <v>2.5000000000000001E-3</v>
      </c>
      <c r="H2874" s="1">
        <v>2.5000000000000001E-3</v>
      </c>
      <c r="I2874" s="1">
        <v>2.5000000000000001E-3</v>
      </c>
      <c r="J2874" s="1">
        <v>0.43590000000000001</v>
      </c>
    </row>
    <row r="2875" spans="1:10" x14ac:dyDescent="0.2">
      <c r="A2875" t="str">
        <f>"18/01/2015"</f>
        <v>18/01/2015</v>
      </c>
      <c r="B2875">
        <v>1</v>
      </c>
      <c r="C2875">
        <v>35000</v>
      </c>
      <c r="D2875">
        <v>59081</v>
      </c>
      <c r="E2875">
        <v>35000</v>
      </c>
      <c r="F2875">
        <v>35000</v>
      </c>
      <c r="G2875" s="1">
        <v>2.5000000000000001E-3</v>
      </c>
      <c r="H2875" s="1">
        <v>2.5000000000000001E-3</v>
      </c>
      <c r="I2875" s="1">
        <v>2.5000000000000001E-3</v>
      </c>
      <c r="J2875" s="1">
        <v>0.44740000000000002</v>
      </c>
    </row>
    <row r="2876" spans="1:10" x14ac:dyDescent="0.2">
      <c r="A2876" t="str">
        <f>"15/01/2015"</f>
        <v>15/01/2015</v>
      </c>
      <c r="B2876">
        <v>3</v>
      </c>
      <c r="C2876">
        <v>38000</v>
      </c>
      <c r="D2876">
        <v>62844</v>
      </c>
      <c r="E2876">
        <v>38000</v>
      </c>
      <c r="F2876">
        <v>38000</v>
      </c>
      <c r="G2876" s="1">
        <v>2.5000000000000001E-3</v>
      </c>
      <c r="H2876" s="1">
        <v>2.5000000000000001E-3</v>
      </c>
      <c r="I2876" s="1">
        <v>2.5000000000000001E-3</v>
      </c>
      <c r="J2876" s="1">
        <v>0.44929999999999998</v>
      </c>
    </row>
    <row r="2877" spans="1:10" x14ac:dyDescent="0.2">
      <c r="A2877" t="str">
        <f>"15/01/2015"</f>
        <v>15/01/2015</v>
      </c>
      <c r="B2877">
        <v>1</v>
      </c>
      <c r="C2877">
        <v>11000</v>
      </c>
      <c r="D2877">
        <v>12600</v>
      </c>
      <c r="E2877">
        <v>11000</v>
      </c>
      <c r="F2877">
        <v>11000</v>
      </c>
      <c r="G2877" s="1">
        <v>2.5000000000000001E-3</v>
      </c>
      <c r="H2877" s="1">
        <v>2.5000000000000001E-3</v>
      </c>
      <c r="I2877" s="1">
        <v>2.5000000000000001E-3</v>
      </c>
      <c r="J2877" s="1">
        <v>0.81499999999999995</v>
      </c>
    </row>
    <row r="2878" spans="1:10" x14ac:dyDescent="0.2">
      <c r="A2878" t="str">
        <f>"14/01/2015"</f>
        <v>14/01/2015</v>
      </c>
      <c r="B2878">
        <v>1</v>
      </c>
      <c r="C2878">
        <v>47000</v>
      </c>
      <c r="D2878">
        <v>74981</v>
      </c>
      <c r="E2878">
        <v>47000</v>
      </c>
      <c r="F2878">
        <v>47000</v>
      </c>
      <c r="G2878" s="1">
        <v>2.5000000000000001E-3</v>
      </c>
      <c r="H2878" s="1">
        <v>2.5000000000000001E-3</v>
      </c>
      <c r="I2878" s="1">
        <v>2.5000000000000001E-3</v>
      </c>
      <c r="J2878" s="1">
        <v>0.51800000000000002</v>
      </c>
    </row>
    <row r="2879" spans="1:10" x14ac:dyDescent="0.2">
      <c r="A2879" t="str">
        <f>"13/01/2015"</f>
        <v>13/01/2015</v>
      </c>
      <c r="B2879">
        <v>1</v>
      </c>
      <c r="C2879">
        <v>47000</v>
      </c>
      <c r="D2879">
        <v>69334</v>
      </c>
      <c r="E2879">
        <v>47000</v>
      </c>
      <c r="F2879">
        <v>47000</v>
      </c>
      <c r="G2879" s="1">
        <v>2.5000000000000001E-3</v>
      </c>
      <c r="H2879" s="1">
        <v>2.5000000000000001E-3</v>
      </c>
      <c r="I2879" s="1">
        <v>2.5000000000000001E-3</v>
      </c>
      <c r="J2879" s="1">
        <v>0.55369999999999997</v>
      </c>
    </row>
    <row r="2880" spans="1:10" x14ac:dyDescent="0.2">
      <c r="A2880" t="str">
        <f>"12/01/2015"</f>
        <v>12/01/2015</v>
      </c>
      <c r="B2880">
        <v>1</v>
      </c>
      <c r="C2880">
        <v>48000</v>
      </c>
      <c r="D2880">
        <v>72547</v>
      </c>
      <c r="E2880">
        <v>48000</v>
      </c>
      <c r="F2880">
        <v>48000</v>
      </c>
      <c r="G2880" s="1">
        <v>2.5000000000000001E-3</v>
      </c>
      <c r="H2880" s="1">
        <v>2.5000000000000001E-3</v>
      </c>
      <c r="I2880" s="1">
        <v>2.5000000000000001E-3</v>
      </c>
      <c r="J2880" s="1">
        <v>0.54759999999999998</v>
      </c>
    </row>
    <row r="2881" spans="1:10" x14ac:dyDescent="0.2">
      <c r="A2881" t="str">
        <f>"11/01/2015"</f>
        <v>11/01/2015</v>
      </c>
      <c r="B2881">
        <v>1</v>
      </c>
      <c r="C2881">
        <v>48000</v>
      </c>
      <c r="D2881">
        <v>72560</v>
      </c>
      <c r="E2881">
        <v>48000</v>
      </c>
      <c r="F2881">
        <v>48000</v>
      </c>
      <c r="G2881" s="1">
        <v>2.5000000000000001E-3</v>
      </c>
      <c r="H2881" s="1">
        <v>2.5000000000000001E-3</v>
      </c>
      <c r="I2881" s="1">
        <v>2.5000000000000001E-3</v>
      </c>
      <c r="J2881" s="1">
        <v>0.54339999999999999</v>
      </c>
    </row>
    <row r="2882" spans="1:10" x14ac:dyDescent="0.2">
      <c r="A2882" t="str">
        <f>"08/01/2015"</f>
        <v>08/01/2015</v>
      </c>
      <c r="B2882">
        <v>3</v>
      </c>
      <c r="C2882">
        <v>49000</v>
      </c>
      <c r="D2882">
        <v>69355</v>
      </c>
      <c r="E2882">
        <v>49000</v>
      </c>
      <c r="F2882">
        <v>49000</v>
      </c>
      <c r="G2882" s="1">
        <v>2.5000000000000001E-3</v>
      </c>
      <c r="H2882" s="1">
        <v>2.5000000000000001E-3</v>
      </c>
      <c r="I2882" s="1">
        <v>2.5000000000000001E-3</v>
      </c>
      <c r="J2882" s="1">
        <v>0.60429999999999995</v>
      </c>
    </row>
    <row r="2883" spans="1:10" x14ac:dyDescent="0.2">
      <c r="A2883" t="str">
        <f>"07/01/2015"</f>
        <v>07/01/2015</v>
      </c>
      <c r="B2883">
        <v>1</v>
      </c>
      <c r="C2883">
        <v>54000</v>
      </c>
      <c r="D2883">
        <v>74132</v>
      </c>
      <c r="E2883">
        <v>54000</v>
      </c>
      <c r="F2883">
        <v>54000</v>
      </c>
      <c r="G2883" s="1">
        <v>2.5000000000000001E-3</v>
      </c>
      <c r="H2883" s="1">
        <v>2.5000000000000001E-3</v>
      </c>
      <c r="I2883" s="1">
        <v>2.5000000000000001E-3</v>
      </c>
      <c r="J2883" s="1">
        <v>0.64339999999999997</v>
      </c>
    </row>
    <row r="2884" spans="1:10" x14ac:dyDescent="0.2">
      <c r="A2884" t="str">
        <f>"06/01/2015"</f>
        <v>06/01/2015</v>
      </c>
      <c r="B2884">
        <v>1</v>
      </c>
      <c r="C2884">
        <v>54000</v>
      </c>
      <c r="D2884">
        <v>78713</v>
      </c>
      <c r="E2884">
        <v>54000</v>
      </c>
      <c r="F2884">
        <v>54000</v>
      </c>
      <c r="G2884" s="1">
        <v>2.5000000000000001E-3</v>
      </c>
      <c r="H2884" s="1">
        <v>2.5000000000000001E-3</v>
      </c>
      <c r="I2884" s="1">
        <v>2.5000000000000001E-3</v>
      </c>
      <c r="J2884" s="1">
        <v>0.5988</v>
      </c>
    </row>
    <row r="2885" spans="1:10" x14ac:dyDescent="0.2">
      <c r="A2885" t="str">
        <f>"05/01/2015"</f>
        <v>05/01/2015</v>
      </c>
      <c r="B2885">
        <v>1</v>
      </c>
      <c r="C2885">
        <v>54000</v>
      </c>
      <c r="D2885">
        <v>77002</v>
      </c>
      <c r="E2885">
        <v>54000</v>
      </c>
      <c r="F2885">
        <v>54000</v>
      </c>
      <c r="G2885" s="1">
        <v>2.5000000000000001E-3</v>
      </c>
      <c r="H2885" s="1">
        <v>2.5000000000000001E-3</v>
      </c>
      <c r="I2885" s="1">
        <v>2.5000000000000001E-3</v>
      </c>
      <c r="J2885" s="1">
        <v>0.6129</v>
      </c>
    </row>
    <row r="2886" spans="1:10" x14ac:dyDescent="0.2">
      <c r="A2886" t="str">
        <f>"04/01/2015"</f>
        <v>04/01/2015</v>
      </c>
      <c r="B2886">
        <v>1</v>
      </c>
      <c r="C2886">
        <v>55000</v>
      </c>
      <c r="D2886">
        <v>75323</v>
      </c>
      <c r="E2886">
        <v>55000</v>
      </c>
      <c r="F2886">
        <v>55000</v>
      </c>
      <c r="G2886" s="1">
        <v>2.5000000000000001E-3</v>
      </c>
      <c r="H2886" s="1">
        <v>2.5000000000000001E-3</v>
      </c>
      <c r="I2886" s="1">
        <v>2.5000000000000001E-3</v>
      </c>
      <c r="J2886" s="1">
        <v>0.64839999999999998</v>
      </c>
    </row>
    <row r="2887" spans="1:10" x14ac:dyDescent="0.2">
      <c r="A2887" t="str">
        <f>"01/01/2015"</f>
        <v>01/01/2015</v>
      </c>
      <c r="B2887">
        <v>3</v>
      </c>
      <c r="C2887">
        <v>55000</v>
      </c>
      <c r="D2887">
        <v>72426</v>
      </c>
      <c r="E2887">
        <v>55000</v>
      </c>
      <c r="F2887">
        <v>55000</v>
      </c>
      <c r="G2887" s="1">
        <v>2.5000000000000001E-3</v>
      </c>
      <c r="H2887" s="1">
        <v>2.5000000000000001E-3</v>
      </c>
      <c r="I2887" s="1">
        <v>2.5000000000000001E-3</v>
      </c>
      <c r="J2887" s="1">
        <v>0.6835</v>
      </c>
    </row>
    <row r="2888" spans="1:10" x14ac:dyDescent="0.2">
      <c r="A2888" t="str">
        <f>"31/12/2014"</f>
        <v>31/12/2014</v>
      </c>
      <c r="B2888">
        <v>1</v>
      </c>
      <c r="C2888">
        <v>47000</v>
      </c>
      <c r="D2888">
        <v>42336</v>
      </c>
      <c r="E2888">
        <v>42336</v>
      </c>
      <c r="F2888">
        <v>42336</v>
      </c>
      <c r="G2888" s="1">
        <v>2.5000000000000001E-3</v>
      </c>
      <c r="H2888" s="1">
        <v>2.3999999999999998E-3</v>
      </c>
      <c r="I2888" s="1">
        <v>2.3999999999999998E-3</v>
      </c>
      <c r="J2888" s="1">
        <v>1</v>
      </c>
    </row>
    <row r="2889" spans="1:10" x14ac:dyDescent="0.2">
      <c r="A2889" t="str">
        <f>"30/12/2014"</f>
        <v>30/12/2014</v>
      </c>
      <c r="B2889">
        <v>1</v>
      </c>
      <c r="C2889">
        <v>41000</v>
      </c>
      <c r="D2889">
        <v>58640</v>
      </c>
      <c r="E2889">
        <v>41000</v>
      </c>
      <c r="F2889">
        <v>41000</v>
      </c>
      <c r="G2889" s="1">
        <v>2.5000000000000001E-3</v>
      </c>
      <c r="H2889" s="1">
        <v>2.3999999999999998E-3</v>
      </c>
      <c r="I2889" s="1">
        <v>2.3999999999999998E-3</v>
      </c>
      <c r="J2889" s="1">
        <v>0.5232</v>
      </c>
    </row>
    <row r="2890" spans="1:10" x14ac:dyDescent="0.2">
      <c r="A2890" t="str">
        <f>"29/12/2014"</f>
        <v>29/12/2014</v>
      </c>
      <c r="B2890">
        <v>1</v>
      </c>
      <c r="C2890">
        <v>36000</v>
      </c>
      <c r="D2890">
        <v>76111</v>
      </c>
      <c r="E2890">
        <v>36000</v>
      </c>
      <c r="F2890">
        <v>36000</v>
      </c>
      <c r="G2890" s="1">
        <v>2.5000000000000001E-3</v>
      </c>
      <c r="H2890" s="1">
        <v>2.5000000000000001E-3</v>
      </c>
      <c r="I2890" s="1">
        <v>2.5000000000000001E-3</v>
      </c>
      <c r="J2890" s="1">
        <v>0.3387</v>
      </c>
    </row>
    <row r="2891" spans="1:10" x14ac:dyDescent="0.2">
      <c r="A2891" t="str">
        <f>"28/12/2014"</f>
        <v>28/12/2014</v>
      </c>
      <c r="B2891">
        <v>1</v>
      </c>
      <c r="C2891">
        <v>35000</v>
      </c>
      <c r="D2891">
        <v>67331</v>
      </c>
      <c r="E2891">
        <v>35000</v>
      </c>
      <c r="F2891">
        <v>35000</v>
      </c>
      <c r="G2891" s="1">
        <v>2.5000000000000001E-3</v>
      </c>
      <c r="H2891" s="1">
        <v>2.5000000000000001E-3</v>
      </c>
      <c r="I2891" s="1">
        <v>2.5000000000000001E-3</v>
      </c>
      <c r="J2891" s="1">
        <v>0.37219999999999998</v>
      </c>
    </row>
    <row r="2892" spans="1:10" x14ac:dyDescent="0.2">
      <c r="A2892" t="str">
        <f>"25/12/2014"</f>
        <v>25/12/2014</v>
      </c>
      <c r="B2892">
        <v>3</v>
      </c>
      <c r="C2892">
        <v>34000</v>
      </c>
      <c r="D2892">
        <v>64390</v>
      </c>
      <c r="E2892">
        <v>34000</v>
      </c>
      <c r="F2892">
        <v>34000</v>
      </c>
      <c r="G2892" s="1">
        <v>2.5000000000000001E-3</v>
      </c>
      <c r="H2892" s="1">
        <v>2.5000000000000001E-3</v>
      </c>
      <c r="I2892" s="1">
        <v>2.5000000000000001E-3</v>
      </c>
      <c r="J2892" s="1">
        <v>0.39279999999999998</v>
      </c>
    </row>
    <row r="2893" spans="1:10" x14ac:dyDescent="0.2">
      <c r="A2893" t="str">
        <f>"24/12/2014"</f>
        <v>24/12/2014</v>
      </c>
      <c r="B2893">
        <v>1</v>
      </c>
      <c r="C2893">
        <v>32000</v>
      </c>
      <c r="D2893">
        <v>64865</v>
      </c>
      <c r="E2893">
        <v>32000</v>
      </c>
      <c r="F2893">
        <v>32000</v>
      </c>
      <c r="G2893" s="1">
        <v>2.5000000000000001E-3</v>
      </c>
      <c r="H2893" s="1">
        <v>2.5000000000000001E-3</v>
      </c>
      <c r="I2893" s="1">
        <v>2.5000000000000001E-3</v>
      </c>
      <c r="J2893" s="1">
        <v>0.3342</v>
      </c>
    </row>
    <row r="2894" spans="1:10" x14ac:dyDescent="0.2">
      <c r="A2894" t="str">
        <f>"23/12/2014"</f>
        <v>23/12/2014</v>
      </c>
      <c r="B2894">
        <v>1</v>
      </c>
      <c r="C2894">
        <v>32000</v>
      </c>
      <c r="D2894">
        <v>64113</v>
      </c>
      <c r="E2894">
        <v>32000</v>
      </c>
      <c r="F2894">
        <v>32000</v>
      </c>
      <c r="G2894" s="1">
        <v>2.5000000000000001E-3</v>
      </c>
      <c r="H2894" s="1">
        <v>2.5000000000000001E-3</v>
      </c>
      <c r="I2894" s="1">
        <v>2.5000000000000001E-3</v>
      </c>
      <c r="J2894" s="1">
        <v>0.3584</v>
      </c>
    </row>
    <row r="2895" spans="1:10" x14ac:dyDescent="0.2">
      <c r="A2895" t="str">
        <f>"22/12/2014"</f>
        <v>22/12/2014</v>
      </c>
      <c r="B2895">
        <v>1</v>
      </c>
      <c r="C2895">
        <v>33000</v>
      </c>
      <c r="D2895">
        <v>54565</v>
      </c>
      <c r="E2895">
        <v>33000</v>
      </c>
      <c r="F2895">
        <v>33000</v>
      </c>
      <c r="G2895" s="1">
        <v>2.5000000000000001E-3</v>
      </c>
      <c r="H2895" s="1">
        <v>2.5000000000000001E-3</v>
      </c>
      <c r="I2895" s="1">
        <v>2.5000000000000001E-3</v>
      </c>
      <c r="J2895" s="1">
        <v>0.48039999999999999</v>
      </c>
    </row>
    <row r="2896" spans="1:10" x14ac:dyDescent="0.2">
      <c r="A2896" t="str">
        <f>"21/12/2014"</f>
        <v>21/12/2014</v>
      </c>
      <c r="B2896">
        <v>1</v>
      </c>
      <c r="C2896">
        <v>30000</v>
      </c>
      <c r="D2896">
        <v>43142</v>
      </c>
      <c r="E2896">
        <v>30000</v>
      </c>
      <c r="F2896">
        <v>30000</v>
      </c>
      <c r="G2896" s="1">
        <v>2.5000000000000001E-3</v>
      </c>
      <c r="H2896" s="1">
        <v>2.5000000000000001E-3</v>
      </c>
      <c r="I2896" s="1">
        <v>2.5000000000000001E-3</v>
      </c>
      <c r="J2896" s="1">
        <v>0.55600000000000005</v>
      </c>
    </row>
    <row r="2897" spans="1:10" x14ac:dyDescent="0.2">
      <c r="A2897" t="str">
        <f>"18/12/2014"</f>
        <v>18/12/2014</v>
      </c>
      <c r="B2897">
        <v>3</v>
      </c>
      <c r="C2897">
        <v>28000</v>
      </c>
      <c r="D2897">
        <v>30766</v>
      </c>
      <c r="E2897">
        <v>28000</v>
      </c>
      <c r="F2897">
        <v>28000</v>
      </c>
      <c r="G2897" s="1">
        <v>2.5000000000000001E-3</v>
      </c>
      <c r="H2897" s="1">
        <v>2.3999999999999998E-3</v>
      </c>
      <c r="I2897" s="1">
        <v>2.3999999999999998E-3</v>
      </c>
      <c r="J2897" s="1">
        <v>0.83199999999999996</v>
      </c>
    </row>
    <row r="2898" spans="1:10" x14ac:dyDescent="0.2">
      <c r="A2898" t="str">
        <f>"17/12/2014"</f>
        <v>17/12/2014</v>
      </c>
      <c r="B2898">
        <v>1</v>
      </c>
      <c r="C2898">
        <v>28000</v>
      </c>
      <c r="D2898">
        <v>31080</v>
      </c>
      <c r="E2898">
        <v>28000</v>
      </c>
      <c r="F2898">
        <v>28000</v>
      </c>
      <c r="G2898" s="1">
        <v>2.5000000000000001E-3</v>
      </c>
      <c r="H2898" s="1">
        <v>2.5000000000000001E-3</v>
      </c>
      <c r="I2898" s="1">
        <v>2.5000000000000001E-3</v>
      </c>
      <c r="J2898" s="1">
        <v>0.82609999999999995</v>
      </c>
    </row>
    <row r="2899" spans="1:10" x14ac:dyDescent="0.2">
      <c r="A2899" t="str">
        <f>"16/12/2014"</f>
        <v>16/12/2014</v>
      </c>
      <c r="B2899">
        <v>1</v>
      </c>
      <c r="C2899">
        <v>30000</v>
      </c>
      <c r="D2899">
        <v>27597</v>
      </c>
      <c r="E2899">
        <v>27597</v>
      </c>
      <c r="F2899">
        <v>27597</v>
      </c>
      <c r="G2899" s="1">
        <v>2.5000000000000001E-3</v>
      </c>
      <c r="H2899" s="1">
        <v>2.5000000000000001E-3</v>
      </c>
      <c r="I2899" s="1">
        <v>2.5000000000000001E-3</v>
      </c>
      <c r="J2899" s="1">
        <v>1</v>
      </c>
    </row>
    <row r="2900" spans="1:10" x14ac:dyDescent="0.2">
      <c r="A2900" t="str">
        <f>"15/12/2014"</f>
        <v>15/12/2014</v>
      </c>
      <c r="B2900">
        <v>1</v>
      </c>
      <c r="C2900">
        <v>41000</v>
      </c>
      <c r="D2900">
        <v>38824</v>
      </c>
      <c r="E2900">
        <v>38824</v>
      </c>
      <c r="F2900">
        <v>38824</v>
      </c>
      <c r="G2900" s="1">
        <v>2.5000000000000001E-3</v>
      </c>
      <c r="H2900" s="1">
        <v>2.5000000000000001E-3</v>
      </c>
      <c r="I2900" s="1">
        <v>2.5000000000000001E-3</v>
      </c>
      <c r="J2900" s="1">
        <v>1</v>
      </c>
    </row>
    <row r="2901" spans="1:10" x14ac:dyDescent="0.2">
      <c r="A2901" t="str">
        <f>"14/12/2014"</f>
        <v>14/12/2014</v>
      </c>
      <c r="B2901">
        <v>1</v>
      </c>
      <c r="C2901">
        <v>41000</v>
      </c>
      <c r="D2901">
        <v>51191</v>
      </c>
      <c r="E2901">
        <v>41000</v>
      </c>
      <c r="F2901">
        <v>41000</v>
      </c>
      <c r="G2901" s="1">
        <v>2.5000000000000001E-3</v>
      </c>
      <c r="H2901" s="1">
        <v>2.5000000000000001E-3</v>
      </c>
      <c r="I2901" s="1">
        <v>2.5000000000000001E-3</v>
      </c>
      <c r="J2901" s="1">
        <v>0.73529999999999995</v>
      </c>
    </row>
    <row r="2902" spans="1:10" x14ac:dyDescent="0.2">
      <c r="A2902" t="str">
        <f>"11/12/2014"</f>
        <v>11/12/2014</v>
      </c>
      <c r="B2902">
        <v>3</v>
      </c>
      <c r="C2902">
        <v>41000</v>
      </c>
      <c r="D2902">
        <v>60003</v>
      </c>
      <c r="E2902">
        <v>41000</v>
      </c>
      <c r="F2902">
        <v>41000</v>
      </c>
      <c r="G2902" s="1">
        <v>2.5000000000000001E-3</v>
      </c>
      <c r="H2902" s="1">
        <v>2.5000000000000001E-3</v>
      </c>
      <c r="I2902" s="1">
        <v>2.5000000000000001E-3</v>
      </c>
      <c r="J2902" s="1">
        <v>0.58189999999999997</v>
      </c>
    </row>
    <row r="2903" spans="1:10" x14ac:dyDescent="0.2">
      <c r="A2903" t="str">
        <f>"10/12/2014"</f>
        <v>10/12/2014</v>
      </c>
      <c r="B2903">
        <v>1</v>
      </c>
      <c r="C2903">
        <v>40000</v>
      </c>
      <c r="D2903">
        <v>61654</v>
      </c>
      <c r="E2903">
        <v>40000</v>
      </c>
      <c r="F2903">
        <v>40000</v>
      </c>
      <c r="G2903" s="1">
        <v>2.5000000000000001E-3</v>
      </c>
      <c r="H2903" s="1">
        <v>2.5000000000000001E-3</v>
      </c>
      <c r="I2903" s="1">
        <v>2.5000000000000001E-3</v>
      </c>
      <c r="J2903" s="1">
        <v>0.53469999999999995</v>
      </c>
    </row>
    <row r="2904" spans="1:10" x14ac:dyDescent="0.2">
      <c r="A2904" t="str">
        <f>"09/12/2014"</f>
        <v>09/12/2014</v>
      </c>
      <c r="B2904">
        <v>1</v>
      </c>
      <c r="C2904">
        <v>40000</v>
      </c>
      <c r="D2904">
        <v>62363</v>
      </c>
      <c r="E2904">
        <v>40000</v>
      </c>
      <c r="F2904">
        <v>40000</v>
      </c>
      <c r="G2904" s="1">
        <v>2.5000000000000001E-3</v>
      </c>
      <c r="H2904" s="1">
        <v>2.5000000000000001E-3</v>
      </c>
      <c r="I2904" s="1">
        <v>2.5000000000000001E-3</v>
      </c>
      <c r="J2904" s="1">
        <v>0.52470000000000006</v>
      </c>
    </row>
    <row r="2905" spans="1:10" x14ac:dyDescent="0.2">
      <c r="A2905" t="str">
        <f>"08/12/2014"</f>
        <v>08/12/2014</v>
      </c>
      <c r="B2905">
        <v>1</v>
      </c>
      <c r="C2905">
        <v>41000</v>
      </c>
      <c r="D2905">
        <v>69920</v>
      </c>
      <c r="E2905">
        <v>41000</v>
      </c>
      <c r="F2905">
        <v>41000</v>
      </c>
      <c r="G2905" s="1">
        <v>2.5000000000000001E-3</v>
      </c>
      <c r="H2905" s="1">
        <v>2.5000000000000001E-3</v>
      </c>
      <c r="I2905" s="1">
        <v>2.5000000000000001E-3</v>
      </c>
      <c r="J2905" s="1">
        <v>0.47249999999999998</v>
      </c>
    </row>
    <row r="2906" spans="1:10" x14ac:dyDescent="0.2">
      <c r="A2906" t="str">
        <f>"07/12/2014"</f>
        <v>07/12/2014</v>
      </c>
      <c r="B2906">
        <v>1</v>
      </c>
      <c r="C2906">
        <v>41000</v>
      </c>
      <c r="D2906">
        <v>71921</v>
      </c>
      <c r="E2906">
        <v>41000</v>
      </c>
      <c r="F2906">
        <v>41000</v>
      </c>
      <c r="G2906" s="1">
        <v>2.5000000000000001E-3</v>
      </c>
      <c r="H2906" s="1">
        <v>2.5000000000000001E-3</v>
      </c>
      <c r="I2906" s="1">
        <v>2.5000000000000001E-3</v>
      </c>
      <c r="J2906" s="1">
        <v>0.45269999999999999</v>
      </c>
    </row>
    <row r="2907" spans="1:10" x14ac:dyDescent="0.2">
      <c r="A2907" t="str">
        <f>"04/12/2014"</f>
        <v>04/12/2014</v>
      </c>
      <c r="B2907">
        <v>3</v>
      </c>
      <c r="C2907">
        <v>41000</v>
      </c>
      <c r="D2907">
        <v>78684</v>
      </c>
      <c r="E2907">
        <v>41000</v>
      </c>
      <c r="F2907">
        <v>41000</v>
      </c>
      <c r="G2907" s="1">
        <v>2.5000000000000001E-3</v>
      </c>
      <c r="H2907" s="1">
        <v>2.5000000000000001E-3</v>
      </c>
      <c r="I2907" s="1">
        <v>2.5000000000000001E-3</v>
      </c>
      <c r="J2907" s="1">
        <v>0.40079999999999999</v>
      </c>
    </row>
    <row r="2908" spans="1:10" x14ac:dyDescent="0.2">
      <c r="A2908" t="str">
        <f>"03/12/2014"</f>
        <v>03/12/2014</v>
      </c>
      <c r="B2908">
        <v>1</v>
      </c>
      <c r="C2908">
        <v>44000</v>
      </c>
      <c r="D2908">
        <v>84939</v>
      </c>
      <c r="E2908">
        <v>44000</v>
      </c>
      <c r="F2908">
        <v>44000</v>
      </c>
      <c r="G2908" s="1">
        <v>2.5000000000000001E-3</v>
      </c>
      <c r="H2908" s="1">
        <v>2.5000000000000001E-3</v>
      </c>
      <c r="I2908" s="1">
        <v>2.5000000000000001E-3</v>
      </c>
      <c r="J2908" s="1">
        <v>0.36799999999999999</v>
      </c>
    </row>
    <row r="2909" spans="1:10" x14ac:dyDescent="0.2">
      <c r="A2909" t="str">
        <f>"02/12/2014"</f>
        <v>02/12/2014</v>
      </c>
      <c r="B2909">
        <v>1</v>
      </c>
      <c r="C2909">
        <v>45000</v>
      </c>
      <c r="D2909">
        <v>80841</v>
      </c>
      <c r="E2909">
        <v>45000</v>
      </c>
      <c r="F2909">
        <v>45000</v>
      </c>
      <c r="G2909" s="1">
        <v>2.5000000000000001E-3</v>
      </c>
      <c r="H2909" s="1">
        <v>2.5000000000000001E-3</v>
      </c>
      <c r="I2909" s="1">
        <v>2.5000000000000001E-3</v>
      </c>
      <c r="J2909" s="1">
        <v>0.42</v>
      </c>
    </row>
    <row r="2910" spans="1:10" x14ac:dyDescent="0.2">
      <c r="A2910" t="str">
        <f>"01/12/2014"</f>
        <v>01/12/2014</v>
      </c>
      <c r="B2910">
        <v>1</v>
      </c>
      <c r="C2910">
        <v>46000</v>
      </c>
      <c r="D2910">
        <v>82990</v>
      </c>
      <c r="E2910">
        <v>46000</v>
      </c>
      <c r="F2910">
        <v>46000</v>
      </c>
      <c r="G2910" s="1">
        <v>2.5000000000000001E-3</v>
      </c>
      <c r="H2910" s="1">
        <v>2.5000000000000001E-3</v>
      </c>
      <c r="I2910" s="1">
        <v>2.5000000000000001E-3</v>
      </c>
      <c r="J2910" s="1">
        <v>0.41360000000000002</v>
      </c>
    </row>
    <row r="2911" spans="1:10" x14ac:dyDescent="0.2">
      <c r="A2911" t="str">
        <f>"30/11/2014"</f>
        <v>30/11/2014</v>
      </c>
      <c r="B2911">
        <v>1</v>
      </c>
      <c r="C2911">
        <v>37000</v>
      </c>
      <c r="D2911">
        <v>63532</v>
      </c>
      <c r="E2911">
        <v>37000</v>
      </c>
      <c r="F2911">
        <v>37000</v>
      </c>
      <c r="G2911" s="1">
        <v>2.5000000000000001E-3</v>
      </c>
      <c r="H2911" s="1">
        <v>2.5000000000000001E-3</v>
      </c>
      <c r="I2911" s="1">
        <v>2.5000000000000001E-3</v>
      </c>
      <c r="J2911" s="1">
        <v>0.45490000000000003</v>
      </c>
    </row>
    <row r="2912" spans="1:10" x14ac:dyDescent="0.2">
      <c r="A2912" t="str">
        <f>"27/11/2014"</f>
        <v>27/11/2014</v>
      </c>
      <c r="B2912">
        <v>3</v>
      </c>
      <c r="C2912">
        <v>33000</v>
      </c>
      <c r="D2912">
        <v>44951</v>
      </c>
      <c r="E2912">
        <v>33000</v>
      </c>
      <c r="F2912">
        <v>33000</v>
      </c>
      <c r="G2912" s="1">
        <v>2.5000000000000001E-3</v>
      </c>
      <c r="H2912" s="1">
        <v>2.5000000000000001E-3</v>
      </c>
      <c r="I2912" s="1">
        <v>2.5000000000000001E-3</v>
      </c>
      <c r="J2912" s="1">
        <v>0.63339999999999996</v>
      </c>
    </row>
    <row r="2913" spans="1:10" x14ac:dyDescent="0.2">
      <c r="A2913" t="str">
        <f>"26/11/2014"</f>
        <v>26/11/2014</v>
      </c>
      <c r="B2913">
        <v>1</v>
      </c>
      <c r="C2913">
        <v>30000</v>
      </c>
      <c r="D2913">
        <v>28965</v>
      </c>
      <c r="E2913">
        <v>28965</v>
      </c>
      <c r="F2913">
        <v>28965</v>
      </c>
      <c r="G2913" s="1">
        <v>2.5000000000000001E-3</v>
      </c>
      <c r="H2913" s="1">
        <v>2.3999999999999998E-3</v>
      </c>
      <c r="I2913" s="1">
        <v>2.3999999999999998E-3</v>
      </c>
      <c r="J2913" s="1">
        <v>1</v>
      </c>
    </row>
    <row r="2914" spans="1:10" x14ac:dyDescent="0.2">
      <c r="A2914" t="str">
        <f>"25/11/2014"</f>
        <v>25/11/2014</v>
      </c>
      <c r="B2914">
        <v>1</v>
      </c>
      <c r="C2914">
        <v>30000</v>
      </c>
      <c r="D2914">
        <v>40862</v>
      </c>
      <c r="E2914">
        <v>30000</v>
      </c>
      <c r="F2914">
        <v>30000</v>
      </c>
      <c r="G2914" s="1">
        <v>2.5000000000000001E-3</v>
      </c>
      <c r="H2914" s="1">
        <v>2.5000000000000001E-3</v>
      </c>
      <c r="I2914" s="1">
        <v>2.5000000000000001E-3</v>
      </c>
      <c r="J2914" s="1">
        <v>0.61480000000000001</v>
      </c>
    </row>
    <row r="2915" spans="1:10" x14ac:dyDescent="0.2">
      <c r="A2915" t="str">
        <f>"24/11/2014"</f>
        <v>24/11/2014</v>
      </c>
      <c r="B2915">
        <v>1</v>
      </c>
      <c r="C2915">
        <v>29000</v>
      </c>
      <c r="D2915">
        <v>40765</v>
      </c>
      <c r="E2915">
        <v>29000</v>
      </c>
      <c r="F2915">
        <v>29000</v>
      </c>
      <c r="G2915" s="1">
        <v>2.5000000000000001E-3</v>
      </c>
      <c r="H2915" s="1">
        <v>2.5000000000000001E-3</v>
      </c>
      <c r="I2915" s="1">
        <v>2.5000000000000001E-3</v>
      </c>
      <c r="J2915" s="1">
        <v>0.5998</v>
      </c>
    </row>
    <row r="2916" spans="1:10" x14ac:dyDescent="0.2">
      <c r="A2916" t="str">
        <f>"23/11/2014"</f>
        <v>23/11/2014</v>
      </c>
      <c r="B2916">
        <v>1</v>
      </c>
      <c r="C2916">
        <v>29000</v>
      </c>
      <c r="D2916">
        <v>42826</v>
      </c>
      <c r="E2916">
        <v>29000</v>
      </c>
      <c r="F2916">
        <v>29000</v>
      </c>
      <c r="G2916" s="1">
        <v>2.5000000000000001E-3</v>
      </c>
      <c r="H2916" s="1">
        <v>2.5000000000000001E-3</v>
      </c>
      <c r="I2916" s="1">
        <v>2.5000000000000001E-3</v>
      </c>
      <c r="J2916" s="1">
        <v>0.5504</v>
      </c>
    </row>
    <row r="2917" spans="1:10" x14ac:dyDescent="0.2">
      <c r="A2917" t="str">
        <f>"20/11/2014"</f>
        <v>20/11/2014</v>
      </c>
      <c r="B2917">
        <v>3</v>
      </c>
      <c r="C2917">
        <v>32000</v>
      </c>
      <c r="D2917">
        <v>62130</v>
      </c>
      <c r="E2917">
        <v>32000</v>
      </c>
      <c r="F2917">
        <v>32000</v>
      </c>
      <c r="G2917" s="1">
        <v>2.5000000000000001E-3</v>
      </c>
      <c r="H2917" s="1">
        <v>2.5000000000000001E-3</v>
      </c>
      <c r="I2917" s="1">
        <v>2.5000000000000001E-3</v>
      </c>
      <c r="J2917" s="1">
        <v>0.37880000000000003</v>
      </c>
    </row>
    <row r="2918" spans="1:10" x14ac:dyDescent="0.2">
      <c r="A2918" t="str">
        <f>"19/11/2014"</f>
        <v>19/11/2014</v>
      </c>
      <c r="B2918">
        <v>1</v>
      </c>
      <c r="C2918">
        <v>32000</v>
      </c>
      <c r="D2918">
        <v>63686</v>
      </c>
      <c r="E2918">
        <v>32000</v>
      </c>
      <c r="F2918">
        <v>32000</v>
      </c>
      <c r="G2918" s="1">
        <v>2.5000000000000001E-3</v>
      </c>
      <c r="H2918" s="1">
        <v>2.3999999999999998E-3</v>
      </c>
      <c r="I2918" s="1">
        <v>2.3999999999999998E-3</v>
      </c>
      <c r="J2918" s="1">
        <v>0.33229999999999998</v>
      </c>
    </row>
    <row r="2919" spans="1:10" x14ac:dyDescent="0.2">
      <c r="A2919" t="str">
        <f>"18/11/2014"</f>
        <v>18/11/2014</v>
      </c>
      <c r="B2919">
        <v>1</v>
      </c>
      <c r="C2919">
        <v>33000</v>
      </c>
      <c r="D2919">
        <v>67701</v>
      </c>
      <c r="E2919">
        <v>33000</v>
      </c>
      <c r="F2919">
        <v>33000</v>
      </c>
      <c r="G2919" s="1">
        <v>2.5000000000000001E-3</v>
      </c>
      <c r="H2919" s="1">
        <v>2.5000000000000001E-3</v>
      </c>
      <c r="I2919" s="1">
        <v>2.5000000000000001E-3</v>
      </c>
      <c r="J2919" s="1">
        <v>0.33850000000000002</v>
      </c>
    </row>
    <row r="2920" spans="1:10" x14ac:dyDescent="0.2">
      <c r="A2920" t="str">
        <f>"17/11/2014"</f>
        <v>17/11/2014</v>
      </c>
      <c r="B2920">
        <v>1</v>
      </c>
      <c r="C2920">
        <v>34000</v>
      </c>
      <c r="D2920">
        <v>76534</v>
      </c>
      <c r="E2920">
        <v>34000</v>
      </c>
      <c r="F2920">
        <v>34000</v>
      </c>
      <c r="G2920" s="1">
        <v>2.5000000000000001E-3</v>
      </c>
      <c r="H2920" s="1">
        <v>2.5000000000000001E-3</v>
      </c>
      <c r="I2920" s="1">
        <v>2.5000000000000001E-3</v>
      </c>
      <c r="J2920" s="1">
        <v>0.30359999999999998</v>
      </c>
    </row>
    <row r="2921" spans="1:10" x14ac:dyDescent="0.2">
      <c r="A2921" t="str">
        <f>"16/11/2014"</f>
        <v>16/11/2014</v>
      </c>
      <c r="B2921">
        <v>1</v>
      </c>
      <c r="C2921">
        <v>46000</v>
      </c>
      <c r="D2921">
        <v>92754</v>
      </c>
      <c r="E2921">
        <v>46000</v>
      </c>
      <c r="F2921">
        <v>46000</v>
      </c>
      <c r="G2921" s="1">
        <v>2.5000000000000001E-3</v>
      </c>
      <c r="H2921" s="1">
        <v>2.5000000000000001E-3</v>
      </c>
      <c r="I2921" s="1">
        <v>2.5000000000000001E-3</v>
      </c>
      <c r="J2921" s="1">
        <v>0.39090000000000003</v>
      </c>
    </row>
    <row r="2922" spans="1:10" x14ac:dyDescent="0.2">
      <c r="A2922" t="str">
        <f>"13/11/2014"</f>
        <v>13/11/2014</v>
      </c>
      <c r="B2922">
        <v>3</v>
      </c>
      <c r="C2922">
        <v>47000</v>
      </c>
      <c r="D2922">
        <v>102017</v>
      </c>
      <c r="E2922">
        <v>47000</v>
      </c>
      <c r="F2922">
        <v>47000</v>
      </c>
      <c r="G2922" s="1">
        <v>2.5000000000000001E-3</v>
      </c>
      <c r="H2922" s="1">
        <v>2.5000000000000001E-3</v>
      </c>
      <c r="I2922" s="1">
        <v>2.5000000000000001E-3</v>
      </c>
      <c r="J2922" s="1">
        <v>0.35099999999999998</v>
      </c>
    </row>
    <row r="2923" spans="1:10" x14ac:dyDescent="0.2">
      <c r="A2923" t="str">
        <f>"12/11/2014"</f>
        <v>12/11/2014</v>
      </c>
      <c r="B2923">
        <v>1</v>
      </c>
      <c r="C2923">
        <v>43000</v>
      </c>
      <c r="D2923">
        <v>90267</v>
      </c>
      <c r="E2923">
        <v>43000</v>
      </c>
      <c r="F2923">
        <v>43000</v>
      </c>
      <c r="G2923" s="1">
        <v>2.5000000000000001E-3</v>
      </c>
      <c r="H2923" s="1">
        <v>2.5000000000000001E-3</v>
      </c>
      <c r="I2923" s="1">
        <v>2.5000000000000001E-3</v>
      </c>
      <c r="J2923" s="1">
        <v>0.36899999999999999</v>
      </c>
    </row>
    <row r="2924" spans="1:10" x14ac:dyDescent="0.2">
      <c r="A2924" t="str">
        <f>"11/11/2014"</f>
        <v>11/11/2014</v>
      </c>
      <c r="B2924">
        <v>1</v>
      </c>
      <c r="C2924">
        <v>44000</v>
      </c>
      <c r="D2924">
        <v>94470</v>
      </c>
      <c r="E2924">
        <v>44000</v>
      </c>
      <c r="F2924">
        <v>44000</v>
      </c>
      <c r="G2924" s="1">
        <v>2.5000000000000001E-3</v>
      </c>
      <c r="H2924" s="1">
        <v>2.5000000000000001E-3</v>
      </c>
      <c r="I2924" s="1">
        <v>2.5000000000000001E-3</v>
      </c>
      <c r="J2924" s="1">
        <v>0.3569</v>
      </c>
    </row>
    <row r="2925" spans="1:10" x14ac:dyDescent="0.2">
      <c r="A2925" t="str">
        <f>"10/11/2014"</f>
        <v>10/11/2014</v>
      </c>
      <c r="B2925">
        <v>1</v>
      </c>
      <c r="C2925">
        <v>44000</v>
      </c>
      <c r="D2925">
        <v>103537</v>
      </c>
      <c r="E2925">
        <v>44000</v>
      </c>
      <c r="F2925">
        <v>44000</v>
      </c>
      <c r="G2925" s="1">
        <v>2.5000000000000001E-3</v>
      </c>
      <c r="H2925" s="1">
        <v>2.5000000000000001E-3</v>
      </c>
      <c r="I2925" s="1">
        <v>2.5000000000000001E-3</v>
      </c>
      <c r="J2925" s="1">
        <v>0.31730000000000003</v>
      </c>
    </row>
    <row r="2926" spans="1:10" x14ac:dyDescent="0.2">
      <c r="A2926" t="str">
        <f>"09/11/2014"</f>
        <v>09/11/2014</v>
      </c>
      <c r="B2926">
        <v>1</v>
      </c>
      <c r="C2926">
        <v>44000</v>
      </c>
      <c r="D2926">
        <v>98695</v>
      </c>
      <c r="E2926">
        <v>44000</v>
      </c>
      <c r="F2926">
        <v>44000</v>
      </c>
      <c r="G2926" s="1">
        <v>2.5000000000000001E-3</v>
      </c>
      <c r="H2926" s="1">
        <v>2.5000000000000001E-3</v>
      </c>
      <c r="I2926" s="1">
        <v>2.5000000000000001E-3</v>
      </c>
      <c r="J2926" s="1">
        <v>0.3372</v>
      </c>
    </row>
    <row r="2927" spans="1:10" x14ac:dyDescent="0.2">
      <c r="A2927" t="str">
        <f>"06/11/2014"</f>
        <v>06/11/2014</v>
      </c>
      <c r="B2927">
        <v>3</v>
      </c>
      <c r="C2927">
        <v>44000</v>
      </c>
      <c r="D2927">
        <v>96400</v>
      </c>
      <c r="E2927">
        <v>44000</v>
      </c>
      <c r="F2927">
        <v>44000</v>
      </c>
      <c r="G2927" s="1">
        <v>2.5000000000000001E-3</v>
      </c>
      <c r="H2927" s="1">
        <v>2.5000000000000001E-3</v>
      </c>
      <c r="I2927" s="1">
        <v>2.5000000000000001E-3</v>
      </c>
      <c r="J2927" s="1">
        <v>0.35139999999999999</v>
      </c>
    </row>
    <row r="2928" spans="1:10" x14ac:dyDescent="0.2">
      <c r="A2928" t="str">
        <f>"05/11/2014"</f>
        <v>05/11/2014</v>
      </c>
      <c r="B2928">
        <v>1</v>
      </c>
      <c r="C2928">
        <v>47000</v>
      </c>
      <c r="D2928">
        <v>101374</v>
      </c>
      <c r="E2928">
        <v>47000</v>
      </c>
      <c r="F2928">
        <v>47000</v>
      </c>
      <c r="G2928" s="1">
        <v>2.5000000000000001E-3</v>
      </c>
      <c r="H2928" s="1">
        <v>2.5000000000000001E-3</v>
      </c>
      <c r="I2928" s="1">
        <v>2.5000000000000001E-3</v>
      </c>
      <c r="J2928" s="1">
        <v>0.3327</v>
      </c>
    </row>
    <row r="2929" spans="1:10" x14ac:dyDescent="0.2">
      <c r="A2929" t="str">
        <f>"04/11/2014"</f>
        <v>04/11/2014</v>
      </c>
      <c r="B2929">
        <v>1</v>
      </c>
      <c r="C2929">
        <v>47000</v>
      </c>
      <c r="D2929">
        <v>94282</v>
      </c>
      <c r="E2929">
        <v>47000</v>
      </c>
      <c r="F2929">
        <v>47000</v>
      </c>
      <c r="G2929" s="1">
        <v>2.5000000000000001E-3</v>
      </c>
      <c r="H2929" s="1">
        <v>2.5000000000000001E-3</v>
      </c>
      <c r="I2929" s="1">
        <v>2.5000000000000001E-3</v>
      </c>
      <c r="J2929" s="1">
        <v>0.38040000000000002</v>
      </c>
    </row>
    <row r="2930" spans="1:10" x14ac:dyDescent="0.2">
      <c r="A2930" t="str">
        <f>"03/11/2014"</f>
        <v>03/11/2014</v>
      </c>
      <c r="B2930">
        <v>1</v>
      </c>
      <c r="C2930">
        <v>47000</v>
      </c>
      <c r="D2930">
        <v>89983</v>
      </c>
      <c r="E2930">
        <v>47000</v>
      </c>
      <c r="F2930">
        <v>47000</v>
      </c>
      <c r="G2930" s="1">
        <v>2.5000000000000001E-3</v>
      </c>
      <c r="H2930" s="1">
        <v>2.5000000000000001E-3</v>
      </c>
      <c r="I2930" s="1">
        <v>2.5000000000000001E-3</v>
      </c>
      <c r="J2930" s="1">
        <v>0.40689999999999998</v>
      </c>
    </row>
    <row r="2931" spans="1:10" x14ac:dyDescent="0.2">
      <c r="A2931" t="str">
        <f>"02/11/2014"</f>
        <v>02/11/2014</v>
      </c>
      <c r="B2931">
        <v>1</v>
      </c>
      <c r="C2931">
        <v>46000</v>
      </c>
      <c r="D2931">
        <v>77450</v>
      </c>
      <c r="E2931">
        <v>46000</v>
      </c>
      <c r="F2931">
        <v>46000</v>
      </c>
      <c r="G2931" s="1">
        <v>2.5000000000000001E-3</v>
      </c>
      <c r="H2931" s="1">
        <v>2.5000000000000001E-3</v>
      </c>
      <c r="I2931" s="1">
        <v>2.5000000000000001E-3</v>
      </c>
      <c r="J2931" s="1">
        <v>0.4723</v>
      </c>
    </row>
    <row r="2932" spans="1:10" x14ac:dyDescent="0.2">
      <c r="A2932" t="str">
        <f>"30/10/2014"</f>
        <v>30/10/2014</v>
      </c>
      <c r="B2932">
        <v>3</v>
      </c>
      <c r="C2932">
        <v>29000</v>
      </c>
      <c r="D2932">
        <v>44719</v>
      </c>
      <c r="E2932">
        <v>29000</v>
      </c>
      <c r="F2932">
        <v>29000</v>
      </c>
      <c r="G2932" s="1">
        <v>2.5000000000000001E-3</v>
      </c>
      <c r="H2932" s="1">
        <v>2.5000000000000001E-3</v>
      </c>
      <c r="I2932" s="1">
        <v>2.5000000000000001E-3</v>
      </c>
      <c r="J2932" s="1">
        <v>0.54769999999999996</v>
      </c>
    </row>
    <row r="2933" spans="1:10" x14ac:dyDescent="0.2">
      <c r="A2933" t="str">
        <f>"29/10/2014"</f>
        <v>29/10/2014</v>
      </c>
      <c r="B2933">
        <v>1</v>
      </c>
      <c r="C2933">
        <v>24000</v>
      </c>
      <c r="D2933">
        <v>20040</v>
      </c>
      <c r="E2933">
        <v>20040</v>
      </c>
      <c r="F2933">
        <v>20040</v>
      </c>
      <c r="G2933" s="1">
        <v>2.5000000000000001E-3</v>
      </c>
      <c r="H2933" s="1">
        <v>2.3999999999999998E-3</v>
      </c>
      <c r="I2933" s="1">
        <v>2.3999999999999998E-3</v>
      </c>
      <c r="J2933" s="1">
        <v>1</v>
      </c>
    </row>
    <row r="2934" spans="1:10" x14ac:dyDescent="0.2">
      <c r="A2934" t="str">
        <f>"28/10/2014"</f>
        <v>28/10/2014</v>
      </c>
      <c r="B2934">
        <v>1</v>
      </c>
      <c r="C2934">
        <v>25000</v>
      </c>
      <c r="D2934">
        <v>28119</v>
      </c>
      <c r="E2934">
        <v>25000</v>
      </c>
      <c r="F2934">
        <v>25000</v>
      </c>
      <c r="G2934" s="1">
        <v>2.5000000000000001E-3</v>
      </c>
      <c r="H2934" s="1">
        <v>2.3999999999999998E-3</v>
      </c>
      <c r="I2934" s="1">
        <v>2.3999999999999998E-3</v>
      </c>
      <c r="J2934" s="1">
        <v>0.7893</v>
      </c>
    </row>
    <row r="2935" spans="1:10" x14ac:dyDescent="0.2">
      <c r="A2935" t="str">
        <f>"27/10/2014"</f>
        <v>27/10/2014</v>
      </c>
      <c r="B2935">
        <v>1</v>
      </c>
      <c r="C2935">
        <v>24000</v>
      </c>
      <c r="D2935">
        <v>39833</v>
      </c>
      <c r="E2935">
        <v>24000</v>
      </c>
      <c r="F2935">
        <v>24000</v>
      </c>
      <c r="G2935" s="1">
        <v>2.5000000000000001E-3</v>
      </c>
      <c r="H2935" s="1">
        <v>2.3999999999999998E-3</v>
      </c>
      <c r="I2935" s="1">
        <v>2.3999999999999998E-3</v>
      </c>
      <c r="J2935" s="1">
        <v>0.39960000000000001</v>
      </c>
    </row>
    <row r="2936" spans="1:10" x14ac:dyDescent="0.2">
      <c r="A2936" t="str">
        <f>"26/10/2014"</f>
        <v>26/10/2014</v>
      </c>
      <c r="B2936">
        <v>1</v>
      </c>
      <c r="C2936">
        <v>24000</v>
      </c>
      <c r="D2936">
        <v>50802</v>
      </c>
      <c r="E2936">
        <v>24000</v>
      </c>
      <c r="F2936">
        <v>24000</v>
      </c>
      <c r="G2936" s="1">
        <v>2.5000000000000001E-3</v>
      </c>
      <c r="H2936" s="1">
        <v>2.3999999999999998E-3</v>
      </c>
      <c r="I2936" s="1">
        <v>2.3999999999999998E-3</v>
      </c>
      <c r="J2936" s="1">
        <v>0.30470000000000003</v>
      </c>
    </row>
    <row r="2937" spans="1:10" x14ac:dyDescent="0.2">
      <c r="A2937" t="str">
        <f>"23/10/2014"</f>
        <v>23/10/2014</v>
      </c>
      <c r="B2937">
        <v>3</v>
      </c>
      <c r="C2937">
        <v>26000</v>
      </c>
      <c r="D2937">
        <v>69366</v>
      </c>
      <c r="E2937">
        <v>26000</v>
      </c>
      <c r="F2937">
        <v>26000</v>
      </c>
      <c r="G2937" s="1">
        <v>2.5000000000000001E-3</v>
      </c>
      <c r="H2937" s="1">
        <v>2.5000000000000001E-3</v>
      </c>
      <c r="I2937" s="1">
        <v>2.5000000000000001E-3</v>
      </c>
      <c r="J2937" s="1">
        <v>0.24579999999999999</v>
      </c>
    </row>
    <row r="2938" spans="1:10" x14ac:dyDescent="0.2">
      <c r="A2938" t="str">
        <f>"23/10/2014"</f>
        <v>23/10/2014</v>
      </c>
      <c r="B2938">
        <v>1</v>
      </c>
      <c r="C2938">
        <v>5000</v>
      </c>
      <c r="D2938">
        <v>3730</v>
      </c>
      <c r="E2938">
        <v>3730</v>
      </c>
      <c r="F2938">
        <v>3730</v>
      </c>
      <c r="G2938" s="1">
        <v>2.5000000000000001E-3</v>
      </c>
      <c r="H2938" s="1">
        <v>2.5000000000000001E-3</v>
      </c>
      <c r="I2938" s="1">
        <v>2.5000000000000001E-3</v>
      </c>
      <c r="J2938" s="1">
        <v>1</v>
      </c>
    </row>
    <row r="2939" spans="1:10" x14ac:dyDescent="0.2">
      <c r="A2939" t="str">
        <f>"22/10/2014"</f>
        <v>22/10/2014</v>
      </c>
      <c r="B2939">
        <v>1</v>
      </c>
      <c r="C2939">
        <v>33000</v>
      </c>
      <c r="D2939">
        <v>111096</v>
      </c>
      <c r="E2939">
        <v>33000</v>
      </c>
      <c r="F2939">
        <v>33000</v>
      </c>
      <c r="G2939" s="1">
        <v>2.5000000000000001E-3</v>
      </c>
      <c r="H2939" s="1">
        <v>2.5000000000000001E-3</v>
      </c>
      <c r="I2939" s="1">
        <v>2.5000000000000001E-3</v>
      </c>
      <c r="J2939" s="1">
        <v>0.20630000000000001</v>
      </c>
    </row>
    <row r="2940" spans="1:10" x14ac:dyDescent="0.2">
      <c r="A2940" t="str">
        <f>"21/10/2014"</f>
        <v>21/10/2014</v>
      </c>
      <c r="B2940">
        <v>1</v>
      </c>
      <c r="C2940">
        <v>35000</v>
      </c>
      <c r="D2940">
        <v>114085</v>
      </c>
      <c r="E2940">
        <v>35000</v>
      </c>
      <c r="F2940">
        <v>35000</v>
      </c>
      <c r="G2940" s="1">
        <v>2.5000000000000001E-3</v>
      </c>
      <c r="H2940" s="1">
        <v>2.5000000000000001E-3</v>
      </c>
      <c r="I2940" s="1">
        <v>2.5000000000000001E-3</v>
      </c>
      <c r="J2940" s="1">
        <v>0.21310000000000001</v>
      </c>
    </row>
    <row r="2941" spans="1:10" x14ac:dyDescent="0.2">
      <c r="A2941" t="str">
        <f>"20/10/2014"</f>
        <v>20/10/2014</v>
      </c>
      <c r="B2941">
        <v>1</v>
      </c>
      <c r="C2941">
        <v>37000</v>
      </c>
      <c r="D2941">
        <v>120680</v>
      </c>
      <c r="E2941">
        <v>37000</v>
      </c>
      <c r="F2941">
        <v>37000</v>
      </c>
      <c r="G2941" s="1">
        <v>2.5000000000000001E-3</v>
      </c>
      <c r="H2941" s="1">
        <v>2.5000000000000001E-3</v>
      </c>
      <c r="I2941" s="1">
        <v>2.5000000000000001E-3</v>
      </c>
      <c r="J2941" s="1">
        <v>0.20830000000000001</v>
      </c>
    </row>
    <row r="2942" spans="1:10" x14ac:dyDescent="0.2">
      <c r="A2942" t="str">
        <f>"19/10/2014"</f>
        <v>19/10/2014</v>
      </c>
      <c r="B2942">
        <v>1</v>
      </c>
      <c r="C2942">
        <v>36000</v>
      </c>
      <c r="D2942">
        <v>115822</v>
      </c>
      <c r="E2942">
        <v>36000</v>
      </c>
      <c r="F2942">
        <v>36000</v>
      </c>
      <c r="G2942" s="1">
        <v>2.5000000000000001E-3</v>
      </c>
      <c r="H2942" s="1">
        <v>2.5000000000000001E-3</v>
      </c>
      <c r="I2942" s="1">
        <v>2.5000000000000001E-3</v>
      </c>
      <c r="J2942" s="1">
        <v>0.21970000000000001</v>
      </c>
    </row>
    <row r="2943" spans="1:10" x14ac:dyDescent="0.2">
      <c r="A2943" t="str">
        <f>"14/10/2014"</f>
        <v>14/10/2014</v>
      </c>
      <c r="B2943">
        <v>5</v>
      </c>
      <c r="C2943">
        <v>38000</v>
      </c>
      <c r="D2943">
        <v>115402</v>
      </c>
      <c r="E2943">
        <v>38000</v>
      </c>
      <c r="F2943">
        <v>38000</v>
      </c>
      <c r="G2943" s="1">
        <v>2.5000000000000001E-3</v>
      </c>
      <c r="H2943" s="1">
        <v>2.5000000000000001E-3</v>
      </c>
      <c r="I2943" s="1">
        <v>2.5000000000000001E-3</v>
      </c>
      <c r="J2943" s="1">
        <v>0.22170000000000001</v>
      </c>
    </row>
    <row r="2944" spans="1:10" x14ac:dyDescent="0.2">
      <c r="A2944" t="str">
        <f>"13/10/2014"</f>
        <v>13/10/2014</v>
      </c>
      <c r="B2944">
        <v>1</v>
      </c>
      <c r="C2944">
        <v>39000</v>
      </c>
      <c r="D2944">
        <v>113882</v>
      </c>
      <c r="E2944">
        <v>39000</v>
      </c>
      <c r="F2944">
        <v>39000</v>
      </c>
      <c r="G2944" s="1">
        <v>2.5000000000000001E-3</v>
      </c>
      <c r="H2944" s="1">
        <v>2.5000000000000001E-3</v>
      </c>
      <c r="I2944" s="1">
        <v>2.5000000000000001E-3</v>
      </c>
      <c r="J2944" s="1">
        <v>0.2175</v>
      </c>
    </row>
    <row r="2945" spans="1:10" x14ac:dyDescent="0.2">
      <c r="A2945" t="str">
        <f>"12/10/2014"</f>
        <v>12/10/2014</v>
      </c>
      <c r="B2945">
        <v>1</v>
      </c>
      <c r="C2945">
        <v>39000</v>
      </c>
      <c r="D2945">
        <v>112197</v>
      </c>
      <c r="E2945">
        <v>39000</v>
      </c>
      <c r="F2945">
        <v>39000</v>
      </c>
      <c r="G2945" s="1">
        <v>2.5000000000000001E-3</v>
      </c>
      <c r="H2945" s="1">
        <v>2.5000000000000001E-3</v>
      </c>
      <c r="I2945" s="1">
        <v>2.5000000000000001E-3</v>
      </c>
      <c r="J2945" s="1">
        <v>0.2427</v>
      </c>
    </row>
    <row r="2946" spans="1:10" x14ac:dyDescent="0.2">
      <c r="A2946" t="str">
        <f>"07/10/2014"</f>
        <v>07/10/2014</v>
      </c>
      <c r="B2946">
        <v>5</v>
      </c>
      <c r="C2946">
        <v>39000</v>
      </c>
      <c r="D2946">
        <v>106380</v>
      </c>
      <c r="E2946">
        <v>39000</v>
      </c>
      <c r="F2946">
        <v>39000</v>
      </c>
      <c r="G2946" s="1">
        <v>2.5000000000000001E-3</v>
      </c>
      <c r="H2946" s="1">
        <v>2.5000000000000001E-3</v>
      </c>
      <c r="I2946" s="1">
        <v>2.5000000000000001E-3</v>
      </c>
      <c r="J2946" s="1">
        <v>0.27210000000000001</v>
      </c>
    </row>
    <row r="2947" spans="1:10" x14ac:dyDescent="0.2">
      <c r="A2947" t="str">
        <f>"06/10/2014"</f>
        <v>06/10/2014</v>
      </c>
      <c r="B2947">
        <v>1</v>
      </c>
      <c r="C2947">
        <v>39000</v>
      </c>
      <c r="D2947">
        <v>117846</v>
      </c>
      <c r="E2947">
        <v>39000</v>
      </c>
      <c r="F2947">
        <v>39000</v>
      </c>
      <c r="G2947" s="1">
        <v>2.5000000000000001E-3</v>
      </c>
      <c r="H2947" s="1">
        <v>2.5000000000000001E-3</v>
      </c>
      <c r="I2947" s="1">
        <v>2.5000000000000001E-3</v>
      </c>
      <c r="J2947" s="1">
        <v>0.24079999999999999</v>
      </c>
    </row>
    <row r="2948" spans="1:10" x14ac:dyDescent="0.2">
      <c r="A2948" t="str">
        <f>"05/10/2014"</f>
        <v>05/10/2014</v>
      </c>
      <c r="B2948">
        <v>1</v>
      </c>
      <c r="C2948">
        <v>39000</v>
      </c>
      <c r="D2948">
        <v>112645</v>
      </c>
      <c r="E2948">
        <v>39000</v>
      </c>
      <c r="F2948">
        <v>39000</v>
      </c>
      <c r="G2948" s="1">
        <v>2.5000000000000001E-3</v>
      </c>
      <c r="H2948" s="1">
        <v>2.5000000000000001E-3</v>
      </c>
      <c r="I2948" s="1">
        <v>2.5000000000000001E-3</v>
      </c>
      <c r="J2948" s="1">
        <v>0.2586</v>
      </c>
    </row>
    <row r="2949" spans="1:10" x14ac:dyDescent="0.2">
      <c r="A2949" t="str">
        <f>"02/10/2014"</f>
        <v>02/10/2014</v>
      </c>
      <c r="B2949">
        <v>3</v>
      </c>
      <c r="C2949">
        <v>40000</v>
      </c>
      <c r="D2949">
        <v>107164</v>
      </c>
      <c r="E2949">
        <v>40000</v>
      </c>
      <c r="F2949">
        <v>40000</v>
      </c>
      <c r="G2949" s="1">
        <v>2.5000000000000001E-3</v>
      </c>
      <c r="H2949" s="1">
        <v>2.5000000000000001E-3</v>
      </c>
      <c r="I2949" s="1">
        <v>2.5000000000000001E-3</v>
      </c>
      <c r="J2949" s="1">
        <v>0.26029999999999998</v>
      </c>
    </row>
    <row r="2950" spans="1:10" x14ac:dyDescent="0.2">
      <c r="A2950" t="str">
        <f>"01/10/2014"</f>
        <v>01/10/2014</v>
      </c>
      <c r="B2950">
        <v>1</v>
      </c>
      <c r="C2950">
        <v>38000</v>
      </c>
      <c r="D2950">
        <v>94620</v>
      </c>
      <c r="E2950">
        <v>38000</v>
      </c>
      <c r="F2950">
        <v>38000</v>
      </c>
      <c r="G2950" s="1">
        <v>2.5000000000000001E-3</v>
      </c>
      <c r="H2950" s="1">
        <v>2.3999999999999998E-3</v>
      </c>
      <c r="I2950" s="1">
        <v>2.3999999999999998E-3</v>
      </c>
      <c r="J2950" s="1">
        <v>0.24510000000000001</v>
      </c>
    </row>
    <row r="2951" spans="1:10" x14ac:dyDescent="0.2">
      <c r="A2951" t="str">
        <f>"30/09/2014"</f>
        <v>30/09/2014</v>
      </c>
      <c r="B2951">
        <v>1</v>
      </c>
      <c r="C2951">
        <v>33000</v>
      </c>
      <c r="D2951">
        <v>63373</v>
      </c>
      <c r="E2951">
        <v>33000</v>
      </c>
      <c r="F2951">
        <v>33000</v>
      </c>
      <c r="G2951" s="1">
        <v>2.5000000000000001E-3</v>
      </c>
      <c r="H2951" s="1">
        <v>2.5000000000000001E-3</v>
      </c>
      <c r="I2951" s="1">
        <v>2.5000000000000001E-3</v>
      </c>
      <c r="J2951" s="1">
        <v>0.37459999999999999</v>
      </c>
    </row>
    <row r="2952" spans="1:10" x14ac:dyDescent="0.2">
      <c r="A2952" t="str">
        <f>"29/09/2014"</f>
        <v>29/09/2014</v>
      </c>
      <c r="B2952">
        <v>1</v>
      </c>
      <c r="C2952">
        <v>29000</v>
      </c>
      <c r="D2952">
        <v>46502</v>
      </c>
      <c r="E2952">
        <v>29000</v>
      </c>
      <c r="F2952">
        <v>29000</v>
      </c>
      <c r="G2952" s="1">
        <v>2.5000000000000001E-3</v>
      </c>
      <c r="H2952" s="1">
        <v>2.5000000000000001E-3</v>
      </c>
      <c r="I2952" s="1">
        <v>2.5000000000000001E-3</v>
      </c>
      <c r="J2952" s="1">
        <v>0.48780000000000001</v>
      </c>
    </row>
    <row r="2953" spans="1:10" x14ac:dyDescent="0.2">
      <c r="A2953" t="str">
        <f>"28/09/2014"</f>
        <v>28/09/2014</v>
      </c>
      <c r="B2953">
        <v>1</v>
      </c>
      <c r="C2953">
        <v>29000</v>
      </c>
      <c r="D2953">
        <v>42868</v>
      </c>
      <c r="E2953">
        <v>29000</v>
      </c>
      <c r="F2953">
        <v>29000</v>
      </c>
      <c r="G2953" s="1">
        <v>2.5000000000000001E-3</v>
      </c>
      <c r="H2953" s="1">
        <v>2.5000000000000001E-3</v>
      </c>
      <c r="I2953" s="1">
        <v>2.5000000000000001E-3</v>
      </c>
      <c r="J2953" s="1">
        <v>0.56799999999999995</v>
      </c>
    </row>
    <row r="2954" spans="1:10" x14ac:dyDescent="0.2">
      <c r="A2954" t="str">
        <f>"24/09/2014"</f>
        <v>24/09/2014</v>
      </c>
      <c r="B2954">
        <v>4</v>
      </c>
      <c r="C2954">
        <v>30000</v>
      </c>
      <c r="D2954">
        <v>25494</v>
      </c>
      <c r="E2954">
        <v>25494</v>
      </c>
      <c r="F2954">
        <v>25494</v>
      </c>
      <c r="G2954" s="1">
        <v>2.5000000000000001E-3</v>
      </c>
      <c r="H2954" s="1">
        <v>2.3999999999999998E-3</v>
      </c>
      <c r="I2954" s="1">
        <v>2.3999999999999998E-3</v>
      </c>
      <c r="J2954" s="1">
        <v>1</v>
      </c>
    </row>
    <row r="2955" spans="1:10" x14ac:dyDescent="0.2">
      <c r="A2955" t="str">
        <f>"23/09/2014"</f>
        <v>23/09/2014</v>
      </c>
      <c r="B2955">
        <v>1</v>
      </c>
      <c r="C2955">
        <v>29000</v>
      </c>
      <c r="D2955">
        <v>38450</v>
      </c>
      <c r="E2955">
        <v>29000</v>
      </c>
      <c r="F2955">
        <v>29000</v>
      </c>
      <c r="G2955" s="1">
        <v>2.5000000000000001E-3</v>
      </c>
      <c r="H2955" s="1">
        <v>2.5000000000000001E-3</v>
      </c>
      <c r="I2955" s="1">
        <v>2.5000000000000001E-3</v>
      </c>
      <c r="J2955" s="1">
        <v>0.60629999999999995</v>
      </c>
    </row>
    <row r="2956" spans="1:10" x14ac:dyDescent="0.2">
      <c r="A2956" t="str">
        <f>"22/09/2014"</f>
        <v>22/09/2014</v>
      </c>
      <c r="B2956">
        <v>1</v>
      </c>
      <c r="C2956">
        <v>30000</v>
      </c>
      <c r="D2956">
        <v>54636</v>
      </c>
      <c r="E2956">
        <v>30000</v>
      </c>
      <c r="F2956">
        <v>30000</v>
      </c>
      <c r="G2956" s="1">
        <v>2.5000000000000001E-3</v>
      </c>
      <c r="H2956" s="1">
        <v>2.3999999999999998E-3</v>
      </c>
      <c r="I2956" s="1">
        <v>2.3999999999999998E-3</v>
      </c>
      <c r="J2956" s="1">
        <v>0.37469999999999998</v>
      </c>
    </row>
    <row r="2957" spans="1:10" x14ac:dyDescent="0.2">
      <c r="A2957" t="str">
        <f>"21/09/2014"</f>
        <v>21/09/2014</v>
      </c>
      <c r="B2957">
        <v>1</v>
      </c>
      <c r="C2957">
        <v>27000</v>
      </c>
      <c r="D2957">
        <v>46805</v>
      </c>
      <c r="E2957">
        <v>27000</v>
      </c>
      <c r="F2957">
        <v>27000</v>
      </c>
      <c r="G2957" s="1">
        <v>2.5000000000000001E-3</v>
      </c>
      <c r="H2957" s="1">
        <v>2.5000000000000001E-3</v>
      </c>
      <c r="I2957" s="1">
        <v>2.5000000000000001E-3</v>
      </c>
      <c r="J2957" s="1">
        <v>0.45400000000000001</v>
      </c>
    </row>
    <row r="2958" spans="1:10" x14ac:dyDescent="0.2">
      <c r="A2958" t="str">
        <f>"18/09/2014"</f>
        <v>18/09/2014</v>
      </c>
      <c r="B2958">
        <v>3</v>
      </c>
      <c r="C2958">
        <v>29000</v>
      </c>
      <c r="D2958">
        <v>54674</v>
      </c>
      <c r="E2958">
        <v>29000</v>
      </c>
      <c r="F2958">
        <v>29000</v>
      </c>
      <c r="G2958" s="1">
        <v>2.5000000000000001E-3</v>
      </c>
      <c r="H2958" s="1">
        <v>2.5000000000000001E-3</v>
      </c>
      <c r="I2958" s="1">
        <v>2.5000000000000001E-3</v>
      </c>
      <c r="J2958" s="1">
        <v>0.37680000000000002</v>
      </c>
    </row>
    <row r="2959" spans="1:10" x14ac:dyDescent="0.2">
      <c r="A2959" t="str">
        <f>"17/09/2014"</f>
        <v>17/09/2014</v>
      </c>
      <c r="B2959">
        <v>1</v>
      </c>
      <c r="C2959">
        <v>24000</v>
      </c>
      <c r="D2959">
        <v>58271</v>
      </c>
      <c r="E2959">
        <v>24000</v>
      </c>
      <c r="F2959">
        <v>24000</v>
      </c>
      <c r="G2959" s="1">
        <v>2.5000000000000001E-3</v>
      </c>
      <c r="H2959" s="1">
        <v>2.5000000000000001E-3</v>
      </c>
      <c r="I2959" s="1">
        <v>2.5000000000000001E-3</v>
      </c>
      <c r="J2959" s="1">
        <v>0.27479999999999999</v>
      </c>
    </row>
    <row r="2960" spans="1:10" x14ac:dyDescent="0.2">
      <c r="A2960" t="str">
        <f>"16/09/2014"</f>
        <v>16/09/2014</v>
      </c>
      <c r="B2960">
        <v>1</v>
      </c>
      <c r="C2960">
        <v>24000</v>
      </c>
      <c r="D2960">
        <v>45806</v>
      </c>
      <c r="E2960">
        <v>24000</v>
      </c>
      <c r="F2960">
        <v>24000</v>
      </c>
      <c r="G2960" s="1">
        <v>2.5000000000000001E-3</v>
      </c>
      <c r="H2960" s="1">
        <v>2.5000000000000001E-3</v>
      </c>
      <c r="I2960" s="1">
        <v>2.5000000000000001E-3</v>
      </c>
      <c r="J2960" s="1">
        <v>0.37869999999999998</v>
      </c>
    </row>
    <row r="2961" spans="1:10" x14ac:dyDescent="0.2">
      <c r="A2961" t="str">
        <f>"15/09/2014"</f>
        <v>15/09/2014</v>
      </c>
      <c r="B2961">
        <v>1</v>
      </c>
      <c r="C2961">
        <v>36000</v>
      </c>
      <c r="D2961">
        <v>62968</v>
      </c>
      <c r="E2961">
        <v>36000</v>
      </c>
      <c r="F2961">
        <v>36000</v>
      </c>
      <c r="G2961" s="1">
        <v>2.5000000000000001E-3</v>
      </c>
      <c r="H2961" s="1">
        <v>2.5000000000000001E-3</v>
      </c>
      <c r="I2961" s="1">
        <v>2.5000000000000001E-3</v>
      </c>
      <c r="J2961" s="1">
        <v>0.46910000000000002</v>
      </c>
    </row>
    <row r="2962" spans="1:10" x14ac:dyDescent="0.2">
      <c r="A2962" t="str">
        <f>"14/09/2014"</f>
        <v>14/09/2014</v>
      </c>
      <c r="B2962">
        <v>1</v>
      </c>
      <c r="C2962">
        <v>36000</v>
      </c>
      <c r="D2962">
        <v>58741</v>
      </c>
      <c r="E2962">
        <v>36000</v>
      </c>
      <c r="F2962">
        <v>36000</v>
      </c>
      <c r="G2962" s="1">
        <v>2.5000000000000001E-3</v>
      </c>
      <c r="H2962" s="1">
        <v>2.5000000000000001E-3</v>
      </c>
      <c r="I2962" s="1">
        <v>2.5000000000000001E-3</v>
      </c>
      <c r="J2962" s="1">
        <v>0.52890000000000004</v>
      </c>
    </row>
    <row r="2963" spans="1:10" x14ac:dyDescent="0.2">
      <c r="A2963" t="str">
        <f>"11/09/2014"</f>
        <v>11/09/2014</v>
      </c>
      <c r="B2963">
        <v>3</v>
      </c>
      <c r="C2963">
        <v>37000</v>
      </c>
      <c r="D2963">
        <v>53718</v>
      </c>
      <c r="E2963">
        <v>37000</v>
      </c>
      <c r="F2963">
        <v>37000</v>
      </c>
      <c r="G2963" s="1">
        <v>2.5000000000000001E-3</v>
      </c>
      <c r="H2963" s="1">
        <v>2.5000000000000001E-3</v>
      </c>
      <c r="I2963" s="1">
        <v>2.5000000000000001E-3</v>
      </c>
      <c r="J2963" s="1">
        <v>0.59550000000000003</v>
      </c>
    </row>
    <row r="2964" spans="1:10" x14ac:dyDescent="0.2">
      <c r="A2964" t="str">
        <f>"10/09/2014"</f>
        <v>10/09/2014</v>
      </c>
      <c r="B2964">
        <v>1</v>
      </c>
      <c r="C2964">
        <v>39000</v>
      </c>
      <c r="D2964">
        <v>54656</v>
      </c>
      <c r="E2964">
        <v>39000</v>
      </c>
      <c r="F2964">
        <v>39000</v>
      </c>
      <c r="G2964" s="1">
        <v>2.5000000000000001E-3</v>
      </c>
      <c r="H2964" s="1">
        <v>2.5000000000000001E-3</v>
      </c>
      <c r="I2964" s="1">
        <v>2.5000000000000001E-3</v>
      </c>
      <c r="J2964" s="1">
        <v>0.61040000000000005</v>
      </c>
    </row>
    <row r="2965" spans="1:10" x14ac:dyDescent="0.2">
      <c r="A2965" t="str">
        <f>"10/09/2014"</f>
        <v>10/09/2014</v>
      </c>
      <c r="B2965">
        <v>1</v>
      </c>
      <c r="C2965">
        <v>10</v>
      </c>
      <c r="D2965">
        <v>15</v>
      </c>
      <c r="E2965">
        <v>10</v>
      </c>
      <c r="F2965">
        <v>10</v>
      </c>
      <c r="G2965" s="1">
        <v>2.5000000000000001E-3</v>
      </c>
      <c r="H2965" s="1">
        <v>2.5000000000000001E-3</v>
      </c>
      <c r="I2965" s="1">
        <v>2.5000000000000001E-3</v>
      </c>
      <c r="J2965" s="1">
        <v>0.66669999999999996</v>
      </c>
    </row>
    <row r="2966" spans="1:10" x14ac:dyDescent="0.2">
      <c r="A2966" t="str">
        <f>"09/09/2014"</f>
        <v>09/09/2014</v>
      </c>
      <c r="B2966">
        <v>1</v>
      </c>
      <c r="C2966">
        <v>40000</v>
      </c>
      <c r="D2966">
        <v>60894</v>
      </c>
      <c r="E2966">
        <v>40000</v>
      </c>
      <c r="F2966">
        <v>40000</v>
      </c>
      <c r="G2966" s="1">
        <v>2.5000000000000001E-3</v>
      </c>
      <c r="H2966" s="1">
        <v>2.5000000000000001E-3</v>
      </c>
      <c r="I2966" s="1">
        <v>2.5000000000000001E-3</v>
      </c>
      <c r="J2966" s="1">
        <v>0.54249999999999998</v>
      </c>
    </row>
    <row r="2967" spans="1:10" x14ac:dyDescent="0.2">
      <c r="A2967" t="str">
        <f>"08/09/2014"</f>
        <v>08/09/2014</v>
      </c>
      <c r="B2967">
        <v>1</v>
      </c>
      <c r="C2967">
        <v>40000</v>
      </c>
      <c r="D2967">
        <v>61762</v>
      </c>
      <c r="E2967">
        <v>40000</v>
      </c>
      <c r="F2967">
        <v>40000</v>
      </c>
      <c r="G2967" s="1">
        <v>2.5000000000000001E-3</v>
      </c>
      <c r="H2967" s="1">
        <v>2.5000000000000001E-3</v>
      </c>
      <c r="I2967" s="1">
        <v>2.5000000000000001E-3</v>
      </c>
      <c r="J2967" s="1">
        <v>0.52059999999999995</v>
      </c>
    </row>
    <row r="2968" spans="1:10" x14ac:dyDescent="0.2">
      <c r="A2968" t="str">
        <f>"07/09/2014"</f>
        <v>07/09/2014</v>
      </c>
      <c r="B2968">
        <v>1</v>
      </c>
      <c r="C2968">
        <v>40000</v>
      </c>
      <c r="D2968">
        <v>73233</v>
      </c>
      <c r="E2968">
        <v>40000</v>
      </c>
      <c r="F2968">
        <v>40000</v>
      </c>
      <c r="G2968" s="1">
        <v>2.5000000000000001E-3</v>
      </c>
      <c r="H2968" s="1">
        <v>2.5000000000000001E-3</v>
      </c>
      <c r="I2968" s="1">
        <v>2.5000000000000001E-3</v>
      </c>
      <c r="J2968" s="1">
        <v>0.42349999999999999</v>
      </c>
    </row>
    <row r="2969" spans="1:10" x14ac:dyDescent="0.2">
      <c r="A2969" t="str">
        <f>"04/09/2014"</f>
        <v>04/09/2014</v>
      </c>
      <c r="B2969">
        <v>3</v>
      </c>
      <c r="C2969">
        <v>40000</v>
      </c>
      <c r="D2969">
        <v>73314</v>
      </c>
      <c r="E2969">
        <v>40000</v>
      </c>
      <c r="F2969">
        <v>40000</v>
      </c>
      <c r="G2969" s="1">
        <v>2.5000000000000001E-3</v>
      </c>
      <c r="H2969" s="1">
        <v>2.5000000000000001E-3</v>
      </c>
      <c r="I2969" s="1">
        <v>2.5000000000000001E-3</v>
      </c>
      <c r="J2969" s="1">
        <v>0.4385</v>
      </c>
    </row>
    <row r="2970" spans="1:10" x14ac:dyDescent="0.2">
      <c r="A2970" t="str">
        <f>"03/09/2014"</f>
        <v>03/09/2014</v>
      </c>
      <c r="B2970">
        <v>1</v>
      </c>
      <c r="C2970">
        <v>44000</v>
      </c>
      <c r="D2970">
        <v>72301</v>
      </c>
      <c r="E2970">
        <v>44000</v>
      </c>
      <c r="F2970">
        <v>44000</v>
      </c>
      <c r="G2970" s="1">
        <v>2.5000000000000001E-3</v>
      </c>
      <c r="H2970" s="1">
        <v>2.5000000000000001E-3</v>
      </c>
      <c r="I2970" s="1">
        <v>2.5000000000000001E-3</v>
      </c>
      <c r="J2970" s="1">
        <v>0.4889</v>
      </c>
    </row>
    <row r="2971" spans="1:10" x14ac:dyDescent="0.2">
      <c r="A2971" t="str">
        <f>"02/09/2014"</f>
        <v>02/09/2014</v>
      </c>
      <c r="B2971">
        <v>1</v>
      </c>
      <c r="C2971">
        <v>44000</v>
      </c>
      <c r="D2971">
        <v>67455</v>
      </c>
      <c r="E2971">
        <v>44000</v>
      </c>
      <c r="F2971">
        <v>44000</v>
      </c>
      <c r="G2971" s="1">
        <v>2.5000000000000001E-3</v>
      </c>
      <c r="H2971" s="1">
        <v>2.5000000000000001E-3</v>
      </c>
      <c r="I2971" s="1">
        <v>2.5000000000000001E-3</v>
      </c>
      <c r="J2971" s="1">
        <v>0.5091</v>
      </c>
    </row>
    <row r="2972" spans="1:10" x14ac:dyDescent="0.2">
      <c r="A2972" t="str">
        <f>"01/09/2014"</f>
        <v>01/09/2014</v>
      </c>
      <c r="B2972">
        <v>1</v>
      </c>
      <c r="C2972">
        <v>46000</v>
      </c>
      <c r="D2972">
        <v>70612</v>
      </c>
      <c r="E2972">
        <v>46000</v>
      </c>
      <c r="F2972">
        <v>46000</v>
      </c>
      <c r="G2972" s="1">
        <v>2.5000000000000001E-3</v>
      </c>
      <c r="H2972" s="1">
        <v>2.5000000000000001E-3</v>
      </c>
      <c r="I2972" s="1">
        <v>2.5000000000000001E-3</v>
      </c>
      <c r="J2972" s="1">
        <v>0.51849999999999996</v>
      </c>
    </row>
    <row r="2973" spans="1:10" x14ac:dyDescent="0.2">
      <c r="A2973" t="str">
        <f>"31/08/2014"</f>
        <v>31/08/2014</v>
      </c>
      <c r="B2973">
        <v>1</v>
      </c>
      <c r="C2973">
        <v>38000</v>
      </c>
      <c r="D2973">
        <v>55255</v>
      </c>
      <c r="E2973">
        <v>38000</v>
      </c>
      <c r="F2973">
        <v>38000</v>
      </c>
      <c r="G2973" s="1">
        <v>2.5000000000000001E-3</v>
      </c>
      <c r="H2973" s="1">
        <v>2.5000000000000001E-3</v>
      </c>
      <c r="I2973" s="1">
        <v>2.5000000000000001E-3</v>
      </c>
      <c r="J2973" s="1">
        <v>0.57879999999999998</v>
      </c>
    </row>
    <row r="2974" spans="1:10" x14ac:dyDescent="0.2">
      <c r="A2974" t="str">
        <f>"28/08/2014"</f>
        <v>28/08/2014</v>
      </c>
      <c r="B2974">
        <v>3</v>
      </c>
      <c r="C2974">
        <v>24000</v>
      </c>
      <c r="D2974">
        <v>29427</v>
      </c>
      <c r="E2974">
        <v>24000</v>
      </c>
      <c r="F2974">
        <v>24000</v>
      </c>
      <c r="G2974" s="1">
        <v>2.5000000000000001E-3</v>
      </c>
      <c r="H2974" s="1">
        <v>2.5000000000000001E-3</v>
      </c>
      <c r="I2974" s="1">
        <v>2.5000000000000001E-3</v>
      </c>
      <c r="J2974" s="1">
        <v>0.73519999999999996</v>
      </c>
    </row>
    <row r="2975" spans="1:10" x14ac:dyDescent="0.2">
      <c r="A2975" t="str">
        <f>"27/08/2014"</f>
        <v>27/08/2014</v>
      </c>
      <c r="B2975">
        <v>1</v>
      </c>
      <c r="C2975">
        <v>25000</v>
      </c>
      <c r="D2975">
        <v>22656</v>
      </c>
      <c r="E2975">
        <v>22656</v>
      </c>
      <c r="F2975">
        <v>22656</v>
      </c>
      <c r="G2975" s="1">
        <v>5.0000000000000001E-3</v>
      </c>
      <c r="H2975" s="1">
        <v>4.8999999999999998E-3</v>
      </c>
      <c r="I2975" s="1">
        <v>4.8999999999999998E-3</v>
      </c>
      <c r="J2975" s="1">
        <v>1</v>
      </c>
    </row>
    <row r="2976" spans="1:10" x14ac:dyDescent="0.2">
      <c r="A2976" t="str">
        <f>"26/08/2014"</f>
        <v>26/08/2014</v>
      </c>
      <c r="B2976">
        <v>1</v>
      </c>
      <c r="C2976">
        <v>22000</v>
      </c>
      <c r="D2976">
        <v>20932</v>
      </c>
      <c r="E2976">
        <v>20932</v>
      </c>
      <c r="F2976">
        <v>20932</v>
      </c>
      <c r="G2976" s="1">
        <v>5.0000000000000001E-3</v>
      </c>
      <c r="H2976" s="1">
        <v>4.8999999999999998E-3</v>
      </c>
      <c r="I2976" s="1">
        <v>4.8999999999999998E-3</v>
      </c>
      <c r="J2976" s="1">
        <v>1</v>
      </c>
    </row>
    <row r="2977" spans="1:10" x14ac:dyDescent="0.2">
      <c r="A2977" t="str">
        <f>"25/08/2014"</f>
        <v>25/08/2014</v>
      </c>
      <c r="B2977">
        <v>1</v>
      </c>
      <c r="C2977">
        <v>22000</v>
      </c>
      <c r="D2977">
        <v>20198</v>
      </c>
      <c r="E2977">
        <v>20198</v>
      </c>
      <c r="F2977">
        <v>20198</v>
      </c>
      <c r="G2977" s="1">
        <v>5.0000000000000001E-3</v>
      </c>
      <c r="H2977" s="1">
        <v>4.8999999999999998E-3</v>
      </c>
      <c r="I2977" s="1">
        <v>4.8999999999999998E-3</v>
      </c>
      <c r="J2977" s="1">
        <v>1</v>
      </c>
    </row>
    <row r="2978" spans="1:10" x14ac:dyDescent="0.2">
      <c r="A2978" t="str">
        <f>"24/08/2014"</f>
        <v>24/08/2014</v>
      </c>
      <c r="B2978">
        <v>1</v>
      </c>
      <c r="C2978">
        <v>23000</v>
      </c>
      <c r="D2978">
        <v>26815</v>
      </c>
      <c r="E2978">
        <v>23000</v>
      </c>
      <c r="F2978">
        <v>23000</v>
      </c>
      <c r="G2978" s="1">
        <v>5.0000000000000001E-3</v>
      </c>
      <c r="H2978" s="1">
        <v>4.8999999999999998E-3</v>
      </c>
      <c r="I2978" s="1">
        <v>4.8999999999999998E-3</v>
      </c>
      <c r="J2978" s="1">
        <v>0.74570000000000003</v>
      </c>
    </row>
    <row r="2979" spans="1:10" x14ac:dyDescent="0.2">
      <c r="A2979" t="str">
        <f>"21/08/2014"</f>
        <v>21/08/2014</v>
      </c>
      <c r="B2979">
        <v>3</v>
      </c>
      <c r="C2979">
        <v>25000</v>
      </c>
      <c r="D2979">
        <v>35037</v>
      </c>
      <c r="E2979">
        <v>25000</v>
      </c>
      <c r="F2979">
        <v>25000</v>
      </c>
      <c r="G2979" s="1">
        <v>5.0000000000000001E-3</v>
      </c>
      <c r="H2979" s="1">
        <v>4.8999999999999998E-3</v>
      </c>
      <c r="I2979" s="1">
        <v>4.8999999999999998E-3</v>
      </c>
      <c r="J2979" s="1">
        <v>0.54790000000000005</v>
      </c>
    </row>
    <row r="2980" spans="1:10" x14ac:dyDescent="0.2">
      <c r="A2980" t="str">
        <f>"20/08/2014"</f>
        <v>20/08/2014</v>
      </c>
      <c r="B2980">
        <v>1</v>
      </c>
      <c r="C2980">
        <v>25000</v>
      </c>
      <c r="D2980">
        <v>41423</v>
      </c>
      <c r="E2980">
        <v>25000</v>
      </c>
      <c r="F2980">
        <v>25000</v>
      </c>
      <c r="G2980" s="1">
        <v>5.0000000000000001E-3</v>
      </c>
      <c r="H2980" s="1">
        <v>5.0000000000000001E-3</v>
      </c>
      <c r="I2980" s="1">
        <v>5.0000000000000001E-3</v>
      </c>
      <c r="J2980" s="1">
        <v>0.44169999999999998</v>
      </c>
    </row>
    <row r="2981" spans="1:10" x14ac:dyDescent="0.2">
      <c r="A2981" t="str">
        <f>"19/08/2014"</f>
        <v>19/08/2014</v>
      </c>
      <c r="B2981">
        <v>1</v>
      </c>
      <c r="C2981">
        <v>26000</v>
      </c>
      <c r="D2981">
        <v>40171</v>
      </c>
      <c r="E2981">
        <v>26000</v>
      </c>
      <c r="F2981">
        <v>26000</v>
      </c>
      <c r="G2981" s="1">
        <v>5.0000000000000001E-3</v>
      </c>
      <c r="H2981" s="1">
        <v>5.0000000000000001E-3</v>
      </c>
      <c r="I2981" s="1">
        <v>5.0000000000000001E-3</v>
      </c>
      <c r="J2981" s="1">
        <v>0.51600000000000001</v>
      </c>
    </row>
    <row r="2982" spans="1:10" x14ac:dyDescent="0.2">
      <c r="A2982" t="str">
        <f>"18/08/2014"</f>
        <v>18/08/2014</v>
      </c>
      <c r="B2982">
        <v>1</v>
      </c>
      <c r="C2982">
        <v>27000</v>
      </c>
      <c r="D2982">
        <v>40582</v>
      </c>
      <c r="E2982">
        <v>27000</v>
      </c>
      <c r="F2982">
        <v>27000</v>
      </c>
      <c r="G2982" s="1">
        <v>5.0000000000000001E-3</v>
      </c>
      <c r="H2982" s="1">
        <v>5.0000000000000001E-3</v>
      </c>
      <c r="I2982" s="1">
        <v>5.0000000000000001E-3</v>
      </c>
      <c r="J2982" s="1">
        <v>0.54569999999999996</v>
      </c>
    </row>
    <row r="2983" spans="1:10" x14ac:dyDescent="0.2">
      <c r="A2983" t="str">
        <f>"17/08/2014"</f>
        <v>17/08/2014</v>
      </c>
      <c r="B2983">
        <v>1</v>
      </c>
      <c r="C2983">
        <v>27000</v>
      </c>
      <c r="D2983">
        <v>36558</v>
      </c>
      <c r="E2983">
        <v>27000</v>
      </c>
      <c r="F2983">
        <v>27000</v>
      </c>
      <c r="G2983" s="1">
        <v>5.0000000000000001E-3</v>
      </c>
      <c r="H2983" s="1">
        <v>4.8999999999999998E-3</v>
      </c>
      <c r="I2983" s="1">
        <v>4.8999999999999998E-3</v>
      </c>
      <c r="J2983" s="1">
        <v>0.5595</v>
      </c>
    </row>
    <row r="2984" spans="1:10" x14ac:dyDescent="0.2">
      <c r="A2984" t="str">
        <f>"14/08/2014"</f>
        <v>14/08/2014</v>
      </c>
      <c r="B2984">
        <v>3</v>
      </c>
      <c r="C2984">
        <v>37000</v>
      </c>
      <c r="D2984">
        <v>49512</v>
      </c>
      <c r="E2984">
        <v>37000</v>
      </c>
      <c r="F2984">
        <v>37000</v>
      </c>
      <c r="G2984" s="1">
        <v>5.0000000000000001E-3</v>
      </c>
      <c r="H2984" s="1">
        <v>5.0000000000000001E-3</v>
      </c>
      <c r="I2984" s="1">
        <v>5.0000000000000001E-3</v>
      </c>
      <c r="J2984" s="1">
        <v>0.64800000000000002</v>
      </c>
    </row>
    <row r="2985" spans="1:10" x14ac:dyDescent="0.2">
      <c r="A2985" t="str">
        <f>"13/08/2014"</f>
        <v>13/08/2014</v>
      </c>
      <c r="B2985">
        <v>1</v>
      </c>
      <c r="C2985">
        <v>34000</v>
      </c>
      <c r="D2985">
        <v>40888</v>
      </c>
      <c r="E2985">
        <v>34000</v>
      </c>
      <c r="F2985">
        <v>34000</v>
      </c>
      <c r="G2985" s="1">
        <v>5.0000000000000001E-3</v>
      </c>
      <c r="H2985" s="1">
        <v>5.0000000000000001E-3</v>
      </c>
      <c r="I2985" s="1">
        <v>5.0000000000000001E-3</v>
      </c>
      <c r="J2985" s="1">
        <v>0.74880000000000002</v>
      </c>
    </row>
    <row r="2986" spans="1:10" x14ac:dyDescent="0.2">
      <c r="A2986" t="str">
        <f>"12/08/2014"</f>
        <v>12/08/2014</v>
      </c>
      <c r="B2986">
        <v>1</v>
      </c>
      <c r="C2986">
        <v>35000</v>
      </c>
      <c r="D2986">
        <v>46565</v>
      </c>
      <c r="E2986">
        <v>35000</v>
      </c>
      <c r="F2986">
        <v>35000</v>
      </c>
      <c r="G2986" s="1">
        <v>5.0000000000000001E-3</v>
      </c>
      <c r="H2986" s="1">
        <v>5.0000000000000001E-3</v>
      </c>
      <c r="I2986" s="1">
        <v>5.0000000000000001E-3</v>
      </c>
      <c r="J2986" s="1">
        <v>0.64370000000000005</v>
      </c>
    </row>
    <row r="2987" spans="1:10" x14ac:dyDescent="0.2">
      <c r="A2987" t="str">
        <f>"11/08/2014"</f>
        <v>11/08/2014</v>
      </c>
      <c r="B2987">
        <v>1</v>
      </c>
      <c r="C2987">
        <v>36000</v>
      </c>
      <c r="D2987">
        <v>51988</v>
      </c>
      <c r="E2987">
        <v>36000</v>
      </c>
      <c r="F2987">
        <v>36000</v>
      </c>
      <c r="G2987" s="1">
        <v>5.0000000000000001E-3</v>
      </c>
      <c r="H2987" s="1">
        <v>5.0000000000000001E-3</v>
      </c>
      <c r="I2987" s="1">
        <v>5.0000000000000001E-3</v>
      </c>
      <c r="J2987" s="1">
        <v>0.57689999999999997</v>
      </c>
    </row>
    <row r="2988" spans="1:10" x14ac:dyDescent="0.2">
      <c r="A2988" t="str">
        <f>"10/08/2014"</f>
        <v>10/08/2014</v>
      </c>
      <c r="B2988">
        <v>1</v>
      </c>
      <c r="C2988">
        <v>35000</v>
      </c>
      <c r="D2988">
        <v>61606</v>
      </c>
      <c r="E2988">
        <v>35000</v>
      </c>
      <c r="F2988">
        <v>35000</v>
      </c>
      <c r="G2988" s="1">
        <v>5.0000000000000001E-3</v>
      </c>
      <c r="H2988" s="1">
        <v>5.0000000000000001E-3</v>
      </c>
      <c r="I2988" s="1">
        <v>5.0000000000000001E-3</v>
      </c>
      <c r="J2988" s="1">
        <v>0.44629999999999997</v>
      </c>
    </row>
    <row r="2989" spans="1:10" x14ac:dyDescent="0.2">
      <c r="A2989" t="str">
        <f>"07/08/2014"</f>
        <v>07/08/2014</v>
      </c>
      <c r="B2989">
        <v>3</v>
      </c>
      <c r="C2989">
        <v>36000</v>
      </c>
      <c r="D2989">
        <v>58303</v>
      </c>
      <c r="E2989">
        <v>36000</v>
      </c>
      <c r="F2989">
        <v>36000</v>
      </c>
      <c r="G2989" s="1">
        <v>5.0000000000000001E-3</v>
      </c>
      <c r="H2989" s="1">
        <v>5.0000000000000001E-3</v>
      </c>
      <c r="I2989" s="1">
        <v>5.0000000000000001E-3</v>
      </c>
      <c r="J2989" s="1">
        <v>0.50980000000000003</v>
      </c>
    </row>
    <row r="2990" spans="1:10" x14ac:dyDescent="0.2">
      <c r="A2990" t="str">
        <f>"06/08/2014"</f>
        <v>06/08/2014</v>
      </c>
      <c r="B2990">
        <v>1</v>
      </c>
      <c r="C2990">
        <v>37000</v>
      </c>
      <c r="D2990">
        <v>62798</v>
      </c>
      <c r="E2990">
        <v>37000</v>
      </c>
      <c r="F2990">
        <v>37000</v>
      </c>
      <c r="G2990" s="1">
        <v>5.0000000000000001E-3</v>
      </c>
      <c r="H2990" s="1">
        <v>5.0000000000000001E-3</v>
      </c>
      <c r="I2990" s="1">
        <v>5.0000000000000001E-3</v>
      </c>
      <c r="J2990" s="1">
        <v>0.49680000000000002</v>
      </c>
    </row>
    <row r="2991" spans="1:10" x14ac:dyDescent="0.2">
      <c r="A2991" t="str">
        <f>"04/08/2014"</f>
        <v>04/08/2014</v>
      </c>
      <c r="B2991">
        <v>2</v>
      </c>
      <c r="C2991">
        <v>35000</v>
      </c>
      <c r="D2991">
        <v>57925</v>
      </c>
      <c r="E2991">
        <v>35000</v>
      </c>
      <c r="F2991">
        <v>35000</v>
      </c>
      <c r="G2991" s="1">
        <v>5.0000000000000001E-3</v>
      </c>
      <c r="H2991" s="1">
        <v>5.0000000000000001E-3</v>
      </c>
      <c r="I2991" s="1">
        <v>5.0000000000000001E-3</v>
      </c>
      <c r="J2991" s="1">
        <v>0.47339999999999999</v>
      </c>
    </row>
    <row r="2992" spans="1:10" x14ac:dyDescent="0.2">
      <c r="A2992" t="str">
        <f>"03/08/2014"</f>
        <v>03/08/2014</v>
      </c>
      <c r="B2992">
        <v>1</v>
      </c>
      <c r="C2992">
        <v>35000</v>
      </c>
      <c r="D2992">
        <v>50585</v>
      </c>
      <c r="E2992">
        <v>35000</v>
      </c>
      <c r="F2992">
        <v>35000</v>
      </c>
      <c r="G2992" s="1">
        <v>5.0000000000000001E-3</v>
      </c>
      <c r="H2992" s="1">
        <v>5.0000000000000001E-3</v>
      </c>
      <c r="I2992" s="1">
        <v>5.0000000000000001E-3</v>
      </c>
      <c r="J2992" s="1">
        <v>0.56410000000000005</v>
      </c>
    </row>
    <row r="2993" spans="1:10" x14ac:dyDescent="0.2">
      <c r="A2993" t="str">
        <f>"31/07/2014"</f>
        <v>31/07/2014</v>
      </c>
      <c r="B2993">
        <v>3</v>
      </c>
      <c r="C2993">
        <v>30000</v>
      </c>
      <c r="D2993">
        <v>38296</v>
      </c>
      <c r="E2993">
        <v>30000</v>
      </c>
      <c r="F2993">
        <v>30000</v>
      </c>
      <c r="G2993" s="1">
        <v>5.0000000000000001E-3</v>
      </c>
      <c r="H2993" s="1">
        <v>5.0000000000000001E-3</v>
      </c>
      <c r="I2993" s="1">
        <v>5.0000000000000001E-3</v>
      </c>
      <c r="J2993" s="1">
        <v>0.70699999999999996</v>
      </c>
    </row>
    <row r="2994" spans="1:10" x14ac:dyDescent="0.2">
      <c r="A2994" t="str">
        <f>"30/07/2014"</f>
        <v>30/07/2014</v>
      </c>
      <c r="B2994">
        <v>1</v>
      </c>
      <c r="C2994">
        <v>28000</v>
      </c>
      <c r="D2994">
        <v>26265</v>
      </c>
      <c r="E2994">
        <v>26265</v>
      </c>
      <c r="F2994">
        <v>26265</v>
      </c>
      <c r="G2994" s="1">
        <v>7.4999999999999997E-3</v>
      </c>
      <c r="H2994" s="1">
        <v>7.4000000000000003E-3</v>
      </c>
      <c r="I2994" s="1">
        <v>7.4000000000000003E-3</v>
      </c>
      <c r="J2994" s="1">
        <v>1</v>
      </c>
    </row>
    <row r="2995" spans="1:10" x14ac:dyDescent="0.2">
      <c r="A2995" t="str">
        <f>"29/07/2014"</f>
        <v>29/07/2014</v>
      </c>
      <c r="B2995">
        <v>1</v>
      </c>
      <c r="C2995">
        <v>27000</v>
      </c>
      <c r="D2995">
        <v>40268</v>
      </c>
      <c r="E2995">
        <v>27000</v>
      </c>
      <c r="F2995">
        <v>27000</v>
      </c>
      <c r="G2995" s="1">
        <v>7.4999999999999997E-3</v>
      </c>
      <c r="H2995" s="1">
        <v>7.4000000000000003E-3</v>
      </c>
      <c r="I2995" s="1">
        <v>7.4000000000000003E-3</v>
      </c>
      <c r="J2995" s="1">
        <v>0.51659999999999995</v>
      </c>
    </row>
    <row r="2996" spans="1:10" x14ac:dyDescent="0.2">
      <c r="A2996" t="str">
        <f>"28/07/2014"</f>
        <v>28/07/2014</v>
      </c>
      <c r="B2996">
        <v>1</v>
      </c>
      <c r="C2996">
        <v>28000</v>
      </c>
      <c r="D2996">
        <v>36353</v>
      </c>
      <c r="E2996">
        <v>28000</v>
      </c>
      <c r="F2996">
        <v>28000</v>
      </c>
      <c r="G2996" s="1">
        <v>7.4999999999999997E-3</v>
      </c>
      <c r="H2996" s="1">
        <v>7.4999999999999997E-3</v>
      </c>
      <c r="I2996" s="1">
        <v>7.4999999999999997E-3</v>
      </c>
      <c r="J2996" s="1">
        <v>0.67179999999999995</v>
      </c>
    </row>
    <row r="2997" spans="1:10" x14ac:dyDescent="0.2">
      <c r="A2997" t="str">
        <f>"27/07/2014"</f>
        <v>27/07/2014</v>
      </c>
      <c r="B2997">
        <v>1</v>
      </c>
      <c r="C2997">
        <v>28000</v>
      </c>
      <c r="D2997">
        <v>33249</v>
      </c>
      <c r="E2997">
        <v>28000</v>
      </c>
      <c r="F2997">
        <v>28000</v>
      </c>
      <c r="G2997" s="1">
        <v>7.4999999999999997E-3</v>
      </c>
      <c r="H2997" s="1">
        <v>7.4999999999999997E-3</v>
      </c>
      <c r="I2997" s="1">
        <v>7.4999999999999997E-3</v>
      </c>
      <c r="J2997" s="1">
        <v>0.75600000000000001</v>
      </c>
    </row>
    <row r="2998" spans="1:10" x14ac:dyDescent="0.2">
      <c r="A2998" t="str">
        <f>"24/07/2014"</f>
        <v>24/07/2014</v>
      </c>
      <c r="B2998">
        <v>3</v>
      </c>
      <c r="C2998">
        <v>33000</v>
      </c>
      <c r="D2998">
        <v>38478</v>
      </c>
      <c r="E2998">
        <v>33000</v>
      </c>
      <c r="F2998">
        <v>33000</v>
      </c>
      <c r="G2998" s="1">
        <v>7.4999999999999997E-3</v>
      </c>
      <c r="H2998" s="1">
        <v>7.4999999999999997E-3</v>
      </c>
      <c r="I2998" s="1">
        <v>7.4999999999999997E-3</v>
      </c>
      <c r="J2998" s="1">
        <v>0.79010000000000002</v>
      </c>
    </row>
    <row r="2999" spans="1:10" x14ac:dyDescent="0.2">
      <c r="A2999" t="str">
        <f>"23/07/2014"</f>
        <v>23/07/2014</v>
      </c>
      <c r="B2999">
        <v>1</v>
      </c>
      <c r="C2999">
        <v>27000</v>
      </c>
      <c r="D2999">
        <v>37046</v>
      </c>
      <c r="E2999">
        <v>27000</v>
      </c>
      <c r="F2999">
        <v>27000</v>
      </c>
      <c r="G2999" s="1">
        <v>7.4999999999999997E-3</v>
      </c>
      <c r="H2999" s="1">
        <v>7.4999999999999997E-3</v>
      </c>
      <c r="I2999" s="1">
        <v>7.4999999999999997E-3</v>
      </c>
      <c r="J2999" s="1">
        <v>0.5998</v>
      </c>
    </row>
    <row r="3000" spans="1:10" x14ac:dyDescent="0.2">
      <c r="A3000" t="str">
        <f>"22/07/2014"</f>
        <v>22/07/2014</v>
      </c>
      <c r="B3000">
        <v>1</v>
      </c>
      <c r="C3000">
        <v>28000</v>
      </c>
      <c r="D3000">
        <v>32847</v>
      </c>
      <c r="E3000">
        <v>28000</v>
      </c>
      <c r="F3000">
        <v>28000</v>
      </c>
      <c r="G3000" s="1">
        <v>7.4999999999999997E-3</v>
      </c>
      <c r="H3000" s="1">
        <v>7.4999999999999997E-3</v>
      </c>
      <c r="I3000" s="1">
        <v>7.4999999999999997E-3</v>
      </c>
      <c r="J3000" s="1">
        <v>0.76039999999999996</v>
      </c>
    </row>
    <row r="3001" spans="1:10" x14ac:dyDescent="0.2">
      <c r="A3001" t="str">
        <f>"21/07/2014"</f>
        <v>21/07/2014</v>
      </c>
      <c r="B3001">
        <v>1</v>
      </c>
      <c r="C3001">
        <v>30000</v>
      </c>
      <c r="D3001">
        <v>34409</v>
      </c>
      <c r="E3001">
        <v>30000</v>
      </c>
      <c r="F3001">
        <v>30000</v>
      </c>
      <c r="G3001" s="1">
        <v>7.4999999999999997E-3</v>
      </c>
      <c r="H3001" s="1">
        <v>7.4999999999999997E-3</v>
      </c>
      <c r="I3001" s="1">
        <v>7.4999999999999997E-3</v>
      </c>
      <c r="J3001" s="1">
        <v>0.80600000000000005</v>
      </c>
    </row>
    <row r="3002" spans="1:10" x14ac:dyDescent="0.2">
      <c r="A3002" t="str">
        <f>"20/07/2014"</f>
        <v>20/07/2014</v>
      </c>
      <c r="B3002">
        <v>1</v>
      </c>
      <c r="C3002">
        <v>34000</v>
      </c>
      <c r="D3002">
        <v>40136</v>
      </c>
      <c r="E3002">
        <v>34000</v>
      </c>
      <c r="F3002">
        <v>34000</v>
      </c>
      <c r="G3002" s="1">
        <v>7.4999999999999997E-3</v>
      </c>
      <c r="H3002" s="1">
        <v>7.4999999999999997E-3</v>
      </c>
      <c r="I3002" s="1">
        <v>7.4999999999999997E-3</v>
      </c>
      <c r="J3002" s="1">
        <v>0.79800000000000004</v>
      </c>
    </row>
    <row r="3003" spans="1:10" x14ac:dyDescent="0.2">
      <c r="A3003" t="str">
        <f>"17/07/2014"</f>
        <v>17/07/2014</v>
      </c>
      <c r="B3003">
        <v>3</v>
      </c>
      <c r="C3003">
        <v>34000</v>
      </c>
      <c r="D3003">
        <v>36630</v>
      </c>
      <c r="E3003">
        <v>34000</v>
      </c>
      <c r="F3003">
        <v>34000</v>
      </c>
      <c r="G3003" s="1">
        <v>7.4999999999999997E-3</v>
      </c>
      <c r="H3003" s="1">
        <v>7.4999999999999997E-3</v>
      </c>
      <c r="I3003" s="1">
        <v>7.4999999999999997E-3</v>
      </c>
      <c r="J3003" s="1">
        <v>0.89810000000000001</v>
      </c>
    </row>
    <row r="3004" spans="1:10" x14ac:dyDescent="0.2">
      <c r="A3004" t="str">
        <f>"16/07/2014"</f>
        <v>16/07/2014</v>
      </c>
      <c r="B3004">
        <v>1</v>
      </c>
      <c r="C3004">
        <v>29000</v>
      </c>
      <c r="D3004">
        <v>24335</v>
      </c>
      <c r="E3004">
        <v>24335</v>
      </c>
      <c r="F3004">
        <v>24335</v>
      </c>
      <c r="G3004" s="1">
        <v>7.4999999999999997E-3</v>
      </c>
      <c r="H3004" s="1">
        <v>7.4999999999999997E-3</v>
      </c>
      <c r="I3004" s="1">
        <v>7.4999999999999997E-3</v>
      </c>
      <c r="J3004" s="1">
        <v>1</v>
      </c>
    </row>
    <row r="3005" spans="1:10" x14ac:dyDescent="0.2">
      <c r="A3005" t="str">
        <f>"15/07/2014"</f>
        <v>15/07/2014</v>
      </c>
      <c r="B3005">
        <v>1</v>
      </c>
      <c r="C3005">
        <v>37000</v>
      </c>
      <c r="D3005">
        <v>38490</v>
      </c>
      <c r="E3005">
        <v>37000</v>
      </c>
      <c r="F3005">
        <v>37000</v>
      </c>
      <c r="G3005" s="1">
        <v>7.4999999999999997E-3</v>
      </c>
      <c r="H3005" s="1">
        <v>7.4999999999999997E-3</v>
      </c>
      <c r="I3005" s="1">
        <v>7.4999999999999997E-3</v>
      </c>
      <c r="J3005" s="1">
        <v>0.94120000000000004</v>
      </c>
    </row>
    <row r="3006" spans="1:10" x14ac:dyDescent="0.2">
      <c r="A3006" t="str">
        <f>"14/07/2014"</f>
        <v>14/07/2014</v>
      </c>
      <c r="B3006">
        <v>1</v>
      </c>
      <c r="C3006">
        <v>39000</v>
      </c>
      <c r="D3006">
        <v>51433</v>
      </c>
      <c r="E3006">
        <v>39000</v>
      </c>
      <c r="F3006">
        <v>39000</v>
      </c>
      <c r="G3006" s="1">
        <v>7.4999999999999997E-3</v>
      </c>
      <c r="H3006" s="1">
        <v>7.4999999999999997E-3</v>
      </c>
      <c r="I3006" s="1">
        <v>7.4999999999999997E-3</v>
      </c>
      <c r="J3006" s="1">
        <v>0.66600000000000004</v>
      </c>
    </row>
    <row r="3007" spans="1:10" x14ac:dyDescent="0.2">
      <c r="A3007" t="str">
        <f>"13/07/2014"</f>
        <v>13/07/2014</v>
      </c>
      <c r="B3007">
        <v>1</v>
      </c>
      <c r="C3007">
        <v>40000</v>
      </c>
      <c r="D3007">
        <v>64730</v>
      </c>
      <c r="E3007">
        <v>40000</v>
      </c>
      <c r="F3007">
        <v>40000</v>
      </c>
      <c r="G3007" s="1">
        <v>7.4999999999999997E-3</v>
      </c>
      <c r="H3007" s="1">
        <v>7.4999999999999997E-3</v>
      </c>
      <c r="I3007" s="1">
        <v>7.4999999999999997E-3</v>
      </c>
      <c r="J3007" s="1">
        <v>0.51790000000000003</v>
      </c>
    </row>
    <row r="3008" spans="1:10" x14ac:dyDescent="0.2">
      <c r="A3008" t="str">
        <f>"10/07/2014"</f>
        <v>10/07/2014</v>
      </c>
      <c r="B3008">
        <v>3</v>
      </c>
      <c r="C3008">
        <v>40000</v>
      </c>
      <c r="D3008">
        <v>71676</v>
      </c>
      <c r="E3008">
        <v>40000</v>
      </c>
      <c r="F3008">
        <v>40000</v>
      </c>
      <c r="G3008" s="1">
        <v>7.4999999999999997E-3</v>
      </c>
      <c r="H3008" s="1">
        <v>7.4999999999999997E-3</v>
      </c>
      <c r="I3008" s="1">
        <v>7.4999999999999997E-3</v>
      </c>
      <c r="J3008" s="1">
        <v>0.4486</v>
      </c>
    </row>
    <row r="3009" spans="1:10" x14ac:dyDescent="0.2">
      <c r="A3009" t="str">
        <f>"09/07/2014"</f>
        <v>09/07/2014</v>
      </c>
      <c r="B3009">
        <v>1</v>
      </c>
      <c r="C3009">
        <v>39000</v>
      </c>
      <c r="D3009">
        <v>71524</v>
      </c>
      <c r="E3009">
        <v>39000</v>
      </c>
      <c r="F3009">
        <v>39000</v>
      </c>
      <c r="G3009" s="1">
        <v>7.4999999999999997E-3</v>
      </c>
      <c r="H3009" s="1">
        <v>7.4999999999999997E-3</v>
      </c>
      <c r="I3009" s="1">
        <v>7.4999999999999997E-3</v>
      </c>
      <c r="J3009" s="1">
        <v>0.42109999999999997</v>
      </c>
    </row>
    <row r="3010" spans="1:10" x14ac:dyDescent="0.2">
      <c r="A3010" t="str">
        <f>"08/07/2014"</f>
        <v>08/07/2014</v>
      </c>
      <c r="B3010">
        <v>1</v>
      </c>
      <c r="C3010">
        <v>39000</v>
      </c>
      <c r="D3010">
        <v>74507</v>
      </c>
      <c r="E3010">
        <v>39000</v>
      </c>
      <c r="F3010">
        <v>39000</v>
      </c>
      <c r="G3010" s="1">
        <v>7.4999999999999997E-3</v>
      </c>
      <c r="H3010" s="1">
        <v>7.4999999999999997E-3</v>
      </c>
      <c r="I3010" s="1">
        <v>7.4999999999999997E-3</v>
      </c>
      <c r="J3010" s="1">
        <v>0.4284</v>
      </c>
    </row>
    <row r="3011" spans="1:10" x14ac:dyDescent="0.2">
      <c r="A3011" t="str">
        <f>"07/07/2014"</f>
        <v>07/07/2014</v>
      </c>
      <c r="B3011">
        <v>1</v>
      </c>
      <c r="C3011">
        <v>40000</v>
      </c>
      <c r="D3011">
        <v>76666</v>
      </c>
      <c r="E3011">
        <v>40000</v>
      </c>
      <c r="F3011">
        <v>40000</v>
      </c>
      <c r="G3011" s="1">
        <v>7.4999999999999997E-3</v>
      </c>
      <c r="H3011" s="1">
        <v>7.4999999999999997E-3</v>
      </c>
      <c r="I3011" s="1">
        <v>7.4999999999999997E-3</v>
      </c>
      <c r="J3011" s="1">
        <v>0.41520000000000001</v>
      </c>
    </row>
    <row r="3012" spans="1:10" x14ac:dyDescent="0.2">
      <c r="A3012" t="str">
        <f>"06/07/2014"</f>
        <v>06/07/2014</v>
      </c>
      <c r="B3012">
        <v>1</v>
      </c>
      <c r="C3012">
        <v>39000</v>
      </c>
      <c r="D3012">
        <v>73952</v>
      </c>
      <c r="E3012">
        <v>39000</v>
      </c>
      <c r="F3012">
        <v>39000</v>
      </c>
      <c r="G3012" s="1">
        <v>7.4999999999999997E-3</v>
      </c>
      <c r="H3012" s="1">
        <v>7.4999999999999997E-3</v>
      </c>
      <c r="I3012" s="1">
        <v>7.4999999999999997E-3</v>
      </c>
      <c r="J3012" s="1">
        <v>0.42809999999999998</v>
      </c>
    </row>
    <row r="3013" spans="1:10" x14ac:dyDescent="0.2">
      <c r="A3013" t="str">
        <f>"03/07/2014"</f>
        <v>03/07/2014</v>
      </c>
      <c r="B3013">
        <v>3</v>
      </c>
      <c r="C3013">
        <v>39000</v>
      </c>
      <c r="D3013">
        <v>76205</v>
      </c>
      <c r="E3013">
        <v>39000</v>
      </c>
      <c r="F3013">
        <v>39000</v>
      </c>
      <c r="G3013" s="1">
        <v>7.4999999999999997E-3</v>
      </c>
      <c r="H3013" s="1">
        <v>7.4999999999999997E-3</v>
      </c>
      <c r="I3013" s="1">
        <v>7.4999999999999997E-3</v>
      </c>
      <c r="J3013" s="1">
        <v>0.41520000000000001</v>
      </c>
    </row>
    <row r="3014" spans="1:10" x14ac:dyDescent="0.2">
      <c r="A3014" t="str">
        <f>"02/07/2014"</f>
        <v>02/07/2014</v>
      </c>
      <c r="B3014">
        <v>1</v>
      </c>
      <c r="C3014">
        <v>42000</v>
      </c>
      <c r="D3014">
        <v>82678</v>
      </c>
      <c r="E3014">
        <v>42000</v>
      </c>
      <c r="F3014">
        <v>42000</v>
      </c>
      <c r="G3014" s="1">
        <v>7.4999999999999997E-3</v>
      </c>
      <c r="H3014" s="1">
        <v>7.4999999999999997E-3</v>
      </c>
      <c r="I3014" s="1">
        <v>7.4999999999999997E-3</v>
      </c>
      <c r="J3014" s="1">
        <v>0.40789999999999998</v>
      </c>
    </row>
    <row r="3015" spans="1:10" x14ac:dyDescent="0.2">
      <c r="A3015" t="str">
        <f>"01/07/2014"</f>
        <v>01/07/2014</v>
      </c>
      <c r="B3015">
        <v>1</v>
      </c>
      <c r="C3015">
        <v>42000</v>
      </c>
      <c r="D3015">
        <v>77140</v>
      </c>
      <c r="E3015">
        <v>42000</v>
      </c>
      <c r="F3015">
        <v>42000</v>
      </c>
      <c r="G3015" s="1">
        <v>7.4999999999999997E-3</v>
      </c>
      <c r="H3015" s="1">
        <v>7.4999999999999997E-3</v>
      </c>
      <c r="I3015" s="1">
        <v>7.4999999999999997E-3</v>
      </c>
      <c r="J3015" s="1">
        <v>0.39829999999999999</v>
      </c>
    </row>
    <row r="3016" spans="1:10" x14ac:dyDescent="0.2">
      <c r="A3016" t="str">
        <f>"30/06/2014"</f>
        <v>30/06/2014</v>
      </c>
      <c r="B3016">
        <v>1</v>
      </c>
      <c r="C3016">
        <v>34000</v>
      </c>
      <c r="D3016">
        <v>60282</v>
      </c>
      <c r="E3016">
        <v>34000</v>
      </c>
      <c r="F3016">
        <v>34000</v>
      </c>
      <c r="G3016" s="1">
        <v>7.4999999999999997E-3</v>
      </c>
      <c r="H3016" s="1">
        <v>7.4999999999999997E-3</v>
      </c>
      <c r="I3016" s="1">
        <v>7.4999999999999997E-3</v>
      </c>
      <c r="J3016" s="1">
        <v>0.41930000000000001</v>
      </c>
    </row>
    <row r="3017" spans="1:10" x14ac:dyDescent="0.2">
      <c r="A3017" t="str">
        <f>"29/06/2014"</f>
        <v>29/06/2014</v>
      </c>
      <c r="B3017">
        <v>1</v>
      </c>
      <c r="C3017">
        <v>26000</v>
      </c>
      <c r="D3017">
        <v>40005</v>
      </c>
      <c r="E3017">
        <v>26000</v>
      </c>
      <c r="F3017">
        <v>26000</v>
      </c>
      <c r="G3017" s="1">
        <v>7.4999999999999997E-3</v>
      </c>
      <c r="H3017" s="1">
        <v>7.4999999999999997E-3</v>
      </c>
      <c r="I3017" s="1">
        <v>7.4999999999999997E-3</v>
      </c>
      <c r="J3017" s="1">
        <v>0.52100000000000002</v>
      </c>
    </row>
    <row r="3018" spans="1:10" x14ac:dyDescent="0.2">
      <c r="A3018" t="str">
        <f>"26/06/2014"</f>
        <v>26/06/2014</v>
      </c>
      <c r="B3018">
        <v>3</v>
      </c>
      <c r="C3018">
        <v>24000</v>
      </c>
      <c r="D3018">
        <v>30097</v>
      </c>
      <c r="E3018">
        <v>24000</v>
      </c>
      <c r="F3018">
        <v>24000</v>
      </c>
      <c r="G3018" s="1">
        <v>7.4999999999999997E-3</v>
      </c>
      <c r="H3018" s="1">
        <v>7.4999999999999997E-3</v>
      </c>
      <c r="I3018" s="1">
        <v>7.4999999999999997E-3</v>
      </c>
      <c r="J3018" s="1">
        <v>0.73250000000000004</v>
      </c>
    </row>
    <row r="3019" spans="1:10" x14ac:dyDescent="0.2">
      <c r="A3019" t="str">
        <f>"25/06/2014"</f>
        <v>25/06/2014</v>
      </c>
      <c r="B3019">
        <v>1</v>
      </c>
      <c r="C3019">
        <v>23000</v>
      </c>
      <c r="D3019">
        <v>22795</v>
      </c>
      <c r="E3019">
        <v>22795</v>
      </c>
      <c r="F3019">
        <v>22795</v>
      </c>
      <c r="G3019" s="1">
        <v>7.4000000000000003E-3</v>
      </c>
      <c r="H3019" s="1">
        <v>7.4000000000000003E-3</v>
      </c>
      <c r="I3019" s="1">
        <v>7.4000000000000003E-3</v>
      </c>
      <c r="J3019" s="1">
        <v>1</v>
      </c>
    </row>
    <row r="3020" spans="1:10" x14ac:dyDescent="0.2">
      <c r="A3020" t="str">
        <f>"24/06/2014"</f>
        <v>24/06/2014</v>
      </c>
      <c r="B3020">
        <v>1</v>
      </c>
      <c r="C3020">
        <v>19000</v>
      </c>
      <c r="D3020">
        <v>15352</v>
      </c>
      <c r="E3020">
        <v>15352</v>
      </c>
      <c r="F3020">
        <v>15352</v>
      </c>
      <c r="G3020" s="1">
        <v>7.4999999999999997E-3</v>
      </c>
      <c r="H3020" s="1">
        <v>7.4000000000000003E-3</v>
      </c>
      <c r="I3020" s="1">
        <v>7.4000000000000003E-3</v>
      </c>
      <c r="J3020" s="1">
        <v>1</v>
      </c>
    </row>
    <row r="3021" spans="1:10" x14ac:dyDescent="0.2">
      <c r="A3021" t="str">
        <f>"23/06/2014"</f>
        <v>23/06/2014</v>
      </c>
      <c r="B3021">
        <v>1</v>
      </c>
      <c r="C3021">
        <v>21000</v>
      </c>
      <c r="D3021">
        <v>18220</v>
      </c>
      <c r="E3021">
        <v>18220</v>
      </c>
      <c r="F3021">
        <v>18220</v>
      </c>
      <c r="G3021" s="1">
        <v>7.4999999999999997E-3</v>
      </c>
      <c r="H3021" s="1">
        <v>7.4000000000000003E-3</v>
      </c>
      <c r="I3021" s="1">
        <v>7.4000000000000003E-3</v>
      </c>
      <c r="J3021" s="1">
        <v>1</v>
      </c>
    </row>
    <row r="3022" spans="1:10" x14ac:dyDescent="0.2">
      <c r="A3022" t="str">
        <f>"22/06/2014"</f>
        <v>22/06/2014</v>
      </c>
      <c r="B3022">
        <v>1</v>
      </c>
      <c r="C3022">
        <v>22000</v>
      </c>
      <c r="D3022">
        <v>24772</v>
      </c>
      <c r="E3022">
        <v>22000</v>
      </c>
      <c r="F3022">
        <v>22000</v>
      </c>
      <c r="G3022" s="1">
        <v>7.4999999999999997E-3</v>
      </c>
      <c r="H3022" s="1">
        <v>7.4000000000000003E-3</v>
      </c>
      <c r="I3022" s="1">
        <v>7.4000000000000003E-3</v>
      </c>
      <c r="J3022" s="1">
        <v>0.76900000000000002</v>
      </c>
    </row>
    <row r="3023" spans="1:10" x14ac:dyDescent="0.2">
      <c r="A3023" t="str">
        <f>"19/06/2014"</f>
        <v>19/06/2014</v>
      </c>
      <c r="B3023">
        <v>3</v>
      </c>
      <c r="C3023">
        <v>25000</v>
      </c>
      <c r="D3023">
        <v>34099</v>
      </c>
      <c r="E3023">
        <v>25000</v>
      </c>
      <c r="F3023">
        <v>25000</v>
      </c>
      <c r="G3023" s="1">
        <v>7.4999999999999997E-3</v>
      </c>
      <c r="H3023" s="1">
        <v>7.4000000000000003E-3</v>
      </c>
      <c r="I3023" s="1">
        <v>7.4000000000000003E-3</v>
      </c>
      <c r="J3023" s="1">
        <v>0.55159999999999998</v>
      </c>
    </row>
    <row r="3024" spans="1:10" x14ac:dyDescent="0.2">
      <c r="A3024" t="str">
        <f>"18/06/2014"</f>
        <v>18/06/2014</v>
      </c>
      <c r="B3024">
        <v>1</v>
      </c>
      <c r="C3024">
        <v>25000</v>
      </c>
      <c r="D3024">
        <v>53097</v>
      </c>
      <c r="E3024">
        <v>25000</v>
      </c>
      <c r="F3024">
        <v>25000</v>
      </c>
      <c r="G3024" s="1">
        <v>7.4999999999999997E-3</v>
      </c>
      <c r="H3024" s="1">
        <v>7.4999999999999997E-3</v>
      </c>
      <c r="I3024" s="1">
        <v>7.4999999999999997E-3</v>
      </c>
      <c r="J3024" s="1">
        <v>0.3135</v>
      </c>
    </row>
    <row r="3025" spans="1:10" x14ac:dyDescent="0.2">
      <c r="A3025" t="str">
        <f>"17/06/2014"</f>
        <v>17/06/2014</v>
      </c>
      <c r="B3025">
        <v>1</v>
      </c>
      <c r="C3025">
        <v>26000</v>
      </c>
      <c r="D3025">
        <v>47371</v>
      </c>
      <c r="E3025">
        <v>26000</v>
      </c>
      <c r="F3025">
        <v>26000</v>
      </c>
      <c r="G3025" s="1">
        <v>7.4999999999999997E-3</v>
      </c>
      <c r="H3025" s="1">
        <v>7.4999999999999997E-3</v>
      </c>
      <c r="I3025" s="1">
        <v>7.4999999999999997E-3</v>
      </c>
      <c r="J3025" s="1">
        <v>0.38240000000000002</v>
      </c>
    </row>
    <row r="3026" spans="1:10" x14ac:dyDescent="0.2">
      <c r="A3026" t="str">
        <f>"16/06/2014"</f>
        <v>16/06/2014</v>
      </c>
      <c r="B3026">
        <v>1</v>
      </c>
      <c r="C3026">
        <v>27000</v>
      </c>
      <c r="D3026">
        <v>43719</v>
      </c>
      <c r="E3026">
        <v>27000</v>
      </c>
      <c r="F3026">
        <v>27000</v>
      </c>
      <c r="G3026" s="1">
        <v>7.4999999999999997E-3</v>
      </c>
      <c r="H3026" s="1">
        <v>7.4999999999999997E-3</v>
      </c>
      <c r="I3026" s="1">
        <v>7.4999999999999997E-3</v>
      </c>
      <c r="J3026" s="1">
        <v>0.4652</v>
      </c>
    </row>
    <row r="3027" spans="1:10" x14ac:dyDescent="0.2">
      <c r="A3027" t="str">
        <f>"15/06/2014"</f>
        <v>15/06/2014</v>
      </c>
      <c r="B3027">
        <v>1</v>
      </c>
      <c r="C3027">
        <v>38000</v>
      </c>
      <c r="D3027">
        <v>58801</v>
      </c>
      <c r="E3027">
        <v>38000</v>
      </c>
      <c r="F3027">
        <v>38000</v>
      </c>
      <c r="G3027" s="1">
        <v>7.4999999999999997E-3</v>
      </c>
      <c r="H3027" s="1">
        <v>7.4999999999999997E-3</v>
      </c>
      <c r="I3027" s="1">
        <v>7.4999999999999997E-3</v>
      </c>
      <c r="J3027" s="1">
        <v>0.55520000000000003</v>
      </c>
    </row>
    <row r="3028" spans="1:10" x14ac:dyDescent="0.2">
      <c r="A3028" t="str">
        <f>"12/06/2014"</f>
        <v>12/06/2014</v>
      </c>
      <c r="B3028">
        <v>3</v>
      </c>
      <c r="C3028">
        <v>38000</v>
      </c>
      <c r="D3028">
        <v>63558</v>
      </c>
      <c r="E3028">
        <v>38000</v>
      </c>
      <c r="F3028">
        <v>38000</v>
      </c>
      <c r="G3028" s="1">
        <v>7.4999999999999997E-3</v>
      </c>
      <c r="H3028" s="1">
        <v>7.4999999999999997E-3</v>
      </c>
      <c r="I3028" s="1">
        <v>7.4999999999999997E-3</v>
      </c>
      <c r="J3028" s="1">
        <v>0.50139999999999996</v>
      </c>
    </row>
    <row r="3029" spans="1:10" x14ac:dyDescent="0.2">
      <c r="A3029" t="str">
        <f>"11/06/2014"</f>
        <v>11/06/2014</v>
      </c>
      <c r="B3029">
        <v>1</v>
      </c>
      <c r="C3029">
        <v>38000</v>
      </c>
      <c r="D3029">
        <v>62181</v>
      </c>
      <c r="E3029">
        <v>38000</v>
      </c>
      <c r="F3029">
        <v>38000</v>
      </c>
      <c r="G3029" s="1">
        <v>7.4999999999999997E-3</v>
      </c>
      <c r="H3029" s="1">
        <v>7.4999999999999997E-3</v>
      </c>
      <c r="I3029" s="1">
        <v>7.4999999999999997E-3</v>
      </c>
      <c r="J3029" s="1">
        <v>0.46760000000000002</v>
      </c>
    </row>
    <row r="3030" spans="1:10" x14ac:dyDescent="0.2">
      <c r="A3030" t="str">
        <f>"10/06/2014"</f>
        <v>10/06/2014</v>
      </c>
      <c r="B3030">
        <v>1</v>
      </c>
      <c r="C3030">
        <v>38000</v>
      </c>
      <c r="D3030">
        <v>58974</v>
      </c>
      <c r="E3030">
        <v>38000</v>
      </c>
      <c r="F3030">
        <v>38000</v>
      </c>
      <c r="G3030" s="1">
        <v>7.4999999999999997E-3</v>
      </c>
      <c r="H3030" s="1">
        <v>7.4999999999999997E-3</v>
      </c>
      <c r="I3030" s="1">
        <v>7.4999999999999997E-3</v>
      </c>
      <c r="J3030" s="1">
        <v>0.50109999999999999</v>
      </c>
    </row>
    <row r="3031" spans="1:10" x14ac:dyDescent="0.2">
      <c r="A3031" t="str">
        <f>"09/06/2014"</f>
        <v>09/06/2014</v>
      </c>
      <c r="B3031">
        <v>1</v>
      </c>
      <c r="C3031">
        <v>38000</v>
      </c>
      <c r="D3031">
        <v>54792</v>
      </c>
      <c r="E3031">
        <v>38000</v>
      </c>
      <c r="F3031">
        <v>38000</v>
      </c>
      <c r="G3031" s="1">
        <v>7.4999999999999997E-3</v>
      </c>
      <c r="H3031" s="1">
        <v>7.4999999999999997E-3</v>
      </c>
      <c r="I3031" s="1">
        <v>7.4999999999999997E-3</v>
      </c>
      <c r="J3031" s="1">
        <v>0.54969999999999997</v>
      </c>
    </row>
    <row r="3032" spans="1:10" x14ac:dyDescent="0.2">
      <c r="A3032" t="str">
        <f>"08/06/2014"</f>
        <v>08/06/2014</v>
      </c>
      <c r="B3032">
        <v>1</v>
      </c>
      <c r="C3032">
        <v>38000</v>
      </c>
      <c r="D3032">
        <v>51046</v>
      </c>
      <c r="E3032">
        <v>38000</v>
      </c>
      <c r="F3032">
        <v>38000</v>
      </c>
      <c r="G3032" s="1">
        <v>7.4999999999999997E-3</v>
      </c>
      <c r="H3032" s="1">
        <v>7.4999999999999997E-3</v>
      </c>
      <c r="I3032" s="1">
        <v>7.4999999999999997E-3</v>
      </c>
      <c r="J3032" s="1">
        <v>0.62580000000000002</v>
      </c>
    </row>
    <row r="3033" spans="1:10" x14ac:dyDescent="0.2">
      <c r="A3033" t="str">
        <f>"05/06/2014"</f>
        <v>05/06/2014</v>
      </c>
      <c r="B3033">
        <v>3</v>
      </c>
      <c r="C3033">
        <v>38000</v>
      </c>
      <c r="D3033">
        <v>52832</v>
      </c>
      <c r="E3033">
        <v>38000</v>
      </c>
      <c r="F3033">
        <v>38000</v>
      </c>
      <c r="G3033" s="1">
        <v>7.4999999999999997E-3</v>
      </c>
      <c r="H3033" s="1">
        <v>7.4999999999999997E-3</v>
      </c>
      <c r="I3033" s="1">
        <v>7.4999999999999997E-3</v>
      </c>
      <c r="J3033" s="1">
        <v>0.59079999999999999</v>
      </c>
    </row>
    <row r="3034" spans="1:10" x14ac:dyDescent="0.2">
      <c r="A3034" t="str">
        <f>"02/06/2014"</f>
        <v>02/06/2014</v>
      </c>
      <c r="B3034">
        <v>3</v>
      </c>
      <c r="C3034">
        <v>37000</v>
      </c>
      <c r="D3034">
        <v>60560</v>
      </c>
      <c r="E3034">
        <v>37000</v>
      </c>
      <c r="F3034">
        <v>37000</v>
      </c>
      <c r="G3034" s="1">
        <v>7.4999999999999997E-3</v>
      </c>
      <c r="H3034" s="1">
        <v>7.4999999999999997E-3</v>
      </c>
      <c r="I3034" s="1">
        <v>7.4999999999999997E-3</v>
      </c>
      <c r="J3034" s="1">
        <v>0.4556</v>
      </c>
    </row>
    <row r="3035" spans="1:10" x14ac:dyDescent="0.2">
      <c r="A3035" t="str">
        <f>"01/06/2014"</f>
        <v>01/06/2014</v>
      </c>
      <c r="B3035">
        <v>1</v>
      </c>
      <c r="C3035">
        <v>35000</v>
      </c>
      <c r="D3035">
        <v>62135</v>
      </c>
      <c r="E3035">
        <v>35000</v>
      </c>
      <c r="F3035">
        <v>35000</v>
      </c>
      <c r="G3035" s="1">
        <v>7.4999999999999997E-3</v>
      </c>
      <c r="H3035" s="1">
        <v>7.4999999999999997E-3</v>
      </c>
      <c r="I3035" s="1">
        <v>7.4999999999999997E-3</v>
      </c>
      <c r="J3035" s="1">
        <v>0.39340000000000003</v>
      </c>
    </row>
    <row r="3036" spans="1:10" x14ac:dyDescent="0.2">
      <c r="A3036" t="str">
        <f>"29/05/2014"</f>
        <v>29/05/2014</v>
      </c>
      <c r="B3036">
        <v>3</v>
      </c>
      <c r="C3036">
        <v>25000</v>
      </c>
      <c r="D3036">
        <v>35650</v>
      </c>
      <c r="E3036">
        <v>25000</v>
      </c>
      <c r="F3036">
        <v>25000</v>
      </c>
      <c r="G3036" s="1">
        <v>7.4999999999999997E-3</v>
      </c>
      <c r="H3036" s="1">
        <v>7.4999999999999997E-3</v>
      </c>
      <c r="I3036" s="1">
        <v>7.4999999999999997E-3</v>
      </c>
      <c r="J3036" s="1">
        <v>0.5786</v>
      </c>
    </row>
    <row r="3037" spans="1:10" x14ac:dyDescent="0.2">
      <c r="A3037" t="str">
        <f>"28/05/2014"</f>
        <v>28/05/2014</v>
      </c>
      <c r="B3037">
        <v>1</v>
      </c>
      <c r="C3037">
        <v>25000</v>
      </c>
      <c r="D3037">
        <v>23356</v>
      </c>
      <c r="E3037">
        <v>23356</v>
      </c>
      <c r="F3037">
        <v>23356</v>
      </c>
      <c r="G3037" s="1">
        <v>7.4999999999999997E-3</v>
      </c>
      <c r="H3037" s="1">
        <v>7.4000000000000003E-3</v>
      </c>
      <c r="I3037" s="1">
        <v>7.4000000000000003E-3</v>
      </c>
      <c r="J3037" s="1">
        <v>1</v>
      </c>
    </row>
    <row r="3038" spans="1:10" x14ac:dyDescent="0.2">
      <c r="A3038" t="str">
        <f>"27/05/2014"</f>
        <v>27/05/2014</v>
      </c>
      <c r="B3038">
        <v>1</v>
      </c>
      <c r="C3038">
        <v>21000</v>
      </c>
      <c r="D3038">
        <v>21598</v>
      </c>
      <c r="E3038">
        <v>21000</v>
      </c>
      <c r="F3038">
        <v>21000</v>
      </c>
      <c r="G3038" s="1">
        <v>7.4999999999999997E-3</v>
      </c>
      <c r="H3038" s="1">
        <v>7.4000000000000003E-3</v>
      </c>
      <c r="I3038" s="1">
        <v>7.4000000000000003E-3</v>
      </c>
      <c r="J3038" s="1">
        <v>0.88039999999999996</v>
      </c>
    </row>
    <row r="3039" spans="1:10" x14ac:dyDescent="0.2">
      <c r="A3039" t="str">
        <f>"26/05/2014"</f>
        <v>26/05/2014</v>
      </c>
      <c r="B3039">
        <v>1</v>
      </c>
      <c r="C3039">
        <v>22000</v>
      </c>
      <c r="D3039">
        <v>22312</v>
      </c>
      <c r="E3039">
        <v>22000</v>
      </c>
      <c r="F3039">
        <v>22000</v>
      </c>
      <c r="G3039" s="1">
        <v>7.4999999999999997E-3</v>
      </c>
      <c r="H3039" s="1">
        <v>7.4000000000000003E-3</v>
      </c>
      <c r="I3039" s="1">
        <v>7.4000000000000003E-3</v>
      </c>
      <c r="J3039" s="1">
        <v>0.92910000000000004</v>
      </c>
    </row>
    <row r="3040" spans="1:10" x14ac:dyDescent="0.2">
      <c r="A3040" t="str">
        <f>"25/05/2014"</f>
        <v>25/05/2014</v>
      </c>
      <c r="B3040">
        <v>1</v>
      </c>
      <c r="C3040">
        <v>22000</v>
      </c>
      <c r="D3040">
        <v>27697</v>
      </c>
      <c r="E3040">
        <v>22000</v>
      </c>
      <c r="F3040">
        <v>22000</v>
      </c>
      <c r="G3040" s="1">
        <v>7.4999999999999997E-3</v>
      </c>
      <c r="H3040" s="1">
        <v>7.4000000000000003E-3</v>
      </c>
      <c r="I3040" s="1">
        <v>7.4000000000000003E-3</v>
      </c>
      <c r="J3040" s="1">
        <v>0.49130000000000001</v>
      </c>
    </row>
    <row r="3041" spans="1:10" x14ac:dyDescent="0.2">
      <c r="A3041" t="str">
        <f>"22/05/2014"</f>
        <v>22/05/2014</v>
      </c>
      <c r="B3041">
        <v>3</v>
      </c>
      <c r="C3041">
        <v>21000</v>
      </c>
      <c r="D3041">
        <v>34733</v>
      </c>
      <c r="E3041">
        <v>21000</v>
      </c>
      <c r="F3041">
        <v>21000</v>
      </c>
      <c r="G3041" s="1">
        <v>7.4999999999999997E-3</v>
      </c>
      <c r="H3041" s="1">
        <v>7.4000000000000003E-3</v>
      </c>
      <c r="I3041" s="1">
        <v>7.4000000000000003E-3</v>
      </c>
      <c r="J3041" s="1">
        <v>0.35980000000000001</v>
      </c>
    </row>
    <row r="3042" spans="1:10" x14ac:dyDescent="0.2">
      <c r="A3042" t="str">
        <f>"21/05/2014"</f>
        <v>21/05/2014</v>
      </c>
      <c r="B3042">
        <v>1</v>
      </c>
      <c r="C3042">
        <v>23000</v>
      </c>
      <c r="D3042">
        <v>58866</v>
      </c>
      <c r="E3042">
        <v>23000</v>
      </c>
      <c r="F3042">
        <v>23000</v>
      </c>
      <c r="G3042" s="1">
        <v>7.4999999999999997E-3</v>
      </c>
      <c r="H3042" s="1">
        <v>7.4000000000000003E-3</v>
      </c>
      <c r="I3042" s="1">
        <v>7.4000000000000003E-3</v>
      </c>
      <c r="J3042" s="1">
        <v>0.23499999999999999</v>
      </c>
    </row>
    <row r="3043" spans="1:10" x14ac:dyDescent="0.2">
      <c r="A3043" t="str">
        <f>"20/05/2014"</f>
        <v>20/05/2014</v>
      </c>
      <c r="B3043">
        <v>1</v>
      </c>
      <c r="C3043">
        <v>24000</v>
      </c>
      <c r="D3043">
        <v>48254</v>
      </c>
      <c r="E3043">
        <v>24000</v>
      </c>
      <c r="F3043">
        <v>24000</v>
      </c>
      <c r="G3043" s="1">
        <v>7.4999999999999997E-3</v>
      </c>
      <c r="H3043" s="1">
        <v>7.4000000000000003E-3</v>
      </c>
      <c r="I3043" s="1">
        <v>7.4000000000000003E-3</v>
      </c>
      <c r="J3043" s="1">
        <v>0.3231</v>
      </c>
    </row>
    <row r="3044" spans="1:10" x14ac:dyDescent="0.2">
      <c r="A3044" t="str">
        <f>"19/05/2014"</f>
        <v>19/05/2014</v>
      </c>
      <c r="B3044">
        <v>1</v>
      </c>
      <c r="C3044">
        <v>25000</v>
      </c>
      <c r="D3044">
        <v>56714</v>
      </c>
      <c r="E3044">
        <v>25000</v>
      </c>
      <c r="F3044">
        <v>25000</v>
      </c>
      <c r="G3044" s="1">
        <v>7.4999999999999997E-3</v>
      </c>
      <c r="H3044" s="1">
        <v>7.4999999999999997E-3</v>
      </c>
      <c r="I3044" s="1">
        <v>7.4999999999999997E-3</v>
      </c>
      <c r="J3044" s="1">
        <v>0.29160000000000003</v>
      </c>
    </row>
    <row r="3045" spans="1:10" x14ac:dyDescent="0.2">
      <c r="A3045" t="str">
        <f>"18/05/2014"</f>
        <v>18/05/2014</v>
      </c>
      <c r="B3045">
        <v>1</v>
      </c>
      <c r="C3045">
        <v>25000</v>
      </c>
      <c r="D3045">
        <v>48910</v>
      </c>
      <c r="E3045">
        <v>25000</v>
      </c>
      <c r="F3045">
        <v>25000</v>
      </c>
      <c r="G3045" s="1">
        <v>7.4999999999999997E-3</v>
      </c>
      <c r="H3045" s="1">
        <v>7.4999999999999997E-3</v>
      </c>
      <c r="I3045" s="1">
        <v>7.4999999999999997E-3</v>
      </c>
      <c r="J3045" s="1">
        <v>0.3448</v>
      </c>
    </row>
    <row r="3046" spans="1:10" x14ac:dyDescent="0.2">
      <c r="A3046" t="str">
        <f>"15/05/2014"</f>
        <v>15/05/2014</v>
      </c>
      <c r="B3046">
        <v>3</v>
      </c>
      <c r="C3046">
        <v>25000</v>
      </c>
      <c r="D3046">
        <v>46162</v>
      </c>
      <c r="E3046">
        <v>25000</v>
      </c>
      <c r="F3046">
        <v>25000</v>
      </c>
      <c r="G3046" s="1">
        <v>7.4999999999999997E-3</v>
      </c>
      <c r="H3046" s="1">
        <v>7.4000000000000003E-3</v>
      </c>
      <c r="I3046" s="1">
        <v>7.4000000000000003E-3</v>
      </c>
      <c r="J3046" s="1">
        <v>0.36580000000000001</v>
      </c>
    </row>
    <row r="3047" spans="1:10" x14ac:dyDescent="0.2">
      <c r="A3047" t="str">
        <f>"15/05/2014"</f>
        <v>15/05/2014</v>
      </c>
      <c r="B3047">
        <v>1</v>
      </c>
      <c r="C3047">
        <v>12000</v>
      </c>
      <c r="D3047">
        <v>15950</v>
      </c>
      <c r="E3047">
        <v>12000</v>
      </c>
      <c r="F3047">
        <v>12000</v>
      </c>
      <c r="G3047" s="1">
        <v>7.4999999999999997E-3</v>
      </c>
      <c r="H3047" s="1">
        <v>7.4999999999999997E-3</v>
      </c>
      <c r="I3047" s="1">
        <v>7.4999999999999997E-3</v>
      </c>
      <c r="J3047" s="1">
        <v>0.65500000000000003</v>
      </c>
    </row>
    <row r="3048" spans="1:10" x14ac:dyDescent="0.2">
      <c r="A3048" t="str">
        <f>"14/05/2014"</f>
        <v>14/05/2014</v>
      </c>
      <c r="B3048">
        <v>1</v>
      </c>
      <c r="C3048">
        <v>32000</v>
      </c>
      <c r="D3048">
        <v>49289</v>
      </c>
      <c r="E3048">
        <v>32000</v>
      </c>
      <c r="F3048">
        <v>32000</v>
      </c>
      <c r="G3048" s="1">
        <v>7.4999999999999997E-3</v>
      </c>
      <c r="H3048" s="1">
        <v>7.4999999999999997E-3</v>
      </c>
      <c r="I3048" s="1">
        <v>7.4999999999999997E-3</v>
      </c>
      <c r="J3048" s="1">
        <v>0.53169999999999995</v>
      </c>
    </row>
    <row r="3049" spans="1:10" x14ac:dyDescent="0.2">
      <c r="A3049" t="str">
        <f>"13/05/2014"</f>
        <v>13/05/2014</v>
      </c>
      <c r="B3049">
        <v>1</v>
      </c>
      <c r="C3049">
        <v>32000</v>
      </c>
      <c r="D3049">
        <v>45056</v>
      </c>
      <c r="E3049">
        <v>32000</v>
      </c>
      <c r="F3049">
        <v>32000</v>
      </c>
      <c r="G3049" s="1">
        <v>7.4999999999999997E-3</v>
      </c>
      <c r="H3049" s="1">
        <v>7.4999999999999997E-3</v>
      </c>
      <c r="I3049" s="1">
        <v>7.4999999999999997E-3</v>
      </c>
      <c r="J3049" s="1">
        <v>0.61199999999999999</v>
      </c>
    </row>
    <row r="3050" spans="1:10" x14ac:dyDescent="0.2">
      <c r="A3050" t="str">
        <f>"12/05/2014"</f>
        <v>12/05/2014</v>
      </c>
      <c r="B3050">
        <v>1</v>
      </c>
      <c r="C3050">
        <v>34000</v>
      </c>
      <c r="D3050">
        <v>42727</v>
      </c>
      <c r="E3050">
        <v>34000</v>
      </c>
      <c r="F3050">
        <v>34000</v>
      </c>
      <c r="G3050" s="1">
        <v>7.4999999999999997E-3</v>
      </c>
      <c r="H3050" s="1">
        <v>7.4999999999999997E-3</v>
      </c>
      <c r="I3050" s="1">
        <v>7.4999999999999997E-3</v>
      </c>
      <c r="J3050" s="1">
        <v>0.72450000000000003</v>
      </c>
    </row>
    <row r="3051" spans="1:10" x14ac:dyDescent="0.2">
      <c r="A3051" t="str">
        <f>"11/05/2014"</f>
        <v>11/05/2014</v>
      </c>
      <c r="B3051">
        <v>1</v>
      </c>
      <c r="C3051">
        <v>35000</v>
      </c>
      <c r="D3051">
        <v>44149</v>
      </c>
      <c r="E3051">
        <v>35000</v>
      </c>
      <c r="F3051">
        <v>35000</v>
      </c>
      <c r="G3051" s="1">
        <v>7.4999999999999997E-3</v>
      </c>
      <c r="H3051" s="1">
        <v>7.4999999999999997E-3</v>
      </c>
      <c r="I3051" s="1">
        <v>7.4999999999999997E-3</v>
      </c>
      <c r="J3051" s="1">
        <v>0.72219999999999995</v>
      </c>
    </row>
    <row r="3052" spans="1:10" x14ac:dyDescent="0.2">
      <c r="A3052" t="str">
        <f>"08/05/2014"</f>
        <v>08/05/2014</v>
      </c>
      <c r="B3052">
        <v>3</v>
      </c>
      <c r="C3052">
        <v>35000</v>
      </c>
      <c r="D3052">
        <v>48255</v>
      </c>
      <c r="E3052">
        <v>35000</v>
      </c>
      <c r="F3052">
        <v>35000</v>
      </c>
      <c r="G3052" s="1">
        <v>7.4999999999999997E-3</v>
      </c>
      <c r="H3052" s="1">
        <v>7.4999999999999997E-3</v>
      </c>
      <c r="I3052" s="1">
        <v>7.4999999999999997E-3</v>
      </c>
      <c r="J3052" s="1">
        <v>0.6502</v>
      </c>
    </row>
    <row r="3053" spans="1:10" x14ac:dyDescent="0.2">
      <c r="A3053" t="str">
        <f>"07/05/2014"</f>
        <v>07/05/2014</v>
      </c>
      <c r="B3053">
        <v>1</v>
      </c>
      <c r="C3053">
        <v>36000</v>
      </c>
      <c r="D3053">
        <v>47840</v>
      </c>
      <c r="E3053">
        <v>36000</v>
      </c>
      <c r="F3053">
        <v>36000</v>
      </c>
      <c r="G3053" s="1">
        <v>7.4999999999999997E-3</v>
      </c>
      <c r="H3053" s="1">
        <v>7.4999999999999997E-3</v>
      </c>
      <c r="I3053" s="1">
        <v>7.4999999999999997E-3</v>
      </c>
      <c r="J3053" s="1">
        <v>0.67479999999999996</v>
      </c>
    </row>
    <row r="3054" spans="1:10" x14ac:dyDescent="0.2">
      <c r="A3054" t="str">
        <f>"04/05/2014"</f>
        <v>04/05/2014</v>
      </c>
      <c r="B3054">
        <v>3</v>
      </c>
      <c r="C3054">
        <v>36000</v>
      </c>
      <c r="D3054">
        <v>49849</v>
      </c>
      <c r="E3054">
        <v>36000</v>
      </c>
      <c r="F3054">
        <v>36000</v>
      </c>
      <c r="G3054" s="1">
        <v>7.4999999999999997E-3</v>
      </c>
      <c r="H3054" s="1">
        <v>7.4999999999999997E-3</v>
      </c>
      <c r="I3054" s="1">
        <v>7.4999999999999997E-3</v>
      </c>
      <c r="J3054" s="1">
        <v>0.63019999999999998</v>
      </c>
    </row>
    <row r="3055" spans="1:10" x14ac:dyDescent="0.2">
      <c r="A3055" t="str">
        <f>"01/05/2014"</f>
        <v>01/05/2014</v>
      </c>
      <c r="B3055">
        <v>3</v>
      </c>
      <c r="C3055">
        <v>36000</v>
      </c>
      <c r="D3055">
        <v>44087</v>
      </c>
      <c r="E3055">
        <v>36000</v>
      </c>
      <c r="F3055">
        <v>36000</v>
      </c>
      <c r="G3055" s="1">
        <v>7.4999999999999997E-3</v>
      </c>
      <c r="H3055" s="1">
        <v>7.4999999999999997E-3</v>
      </c>
      <c r="I3055" s="1">
        <v>7.4999999999999997E-3</v>
      </c>
      <c r="J3055" s="1">
        <v>0.75629999999999997</v>
      </c>
    </row>
    <row r="3056" spans="1:10" x14ac:dyDescent="0.2">
      <c r="A3056" t="str">
        <f>"30/04/2014"</f>
        <v>30/04/2014</v>
      </c>
      <c r="B3056">
        <v>1</v>
      </c>
      <c r="C3056">
        <v>18000</v>
      </c>
      <c r="D3056">
        <v>19768</v>
      </c>
      <c r="E3056">
        <v>18000</v>
      </c>
      <c r="F3056">
        <v>18000</v>
      </c>
      <c r="G3056" s="1">
        <v>7.4999999999999997E-3</v>
      </c>
      <c r="H3056" s="1">
        <v>7.4000000000000003E-3</v>
      </c>
      <c r="I3056" s="1">
        <v>7.4000000000000003E-3</v>
      </c>
      <c r="J3056" s="1">
        <v>9.3299999999999994E-2</v>
      </c>
    </row>
    <row r="3057" spans="1:10" x14ac:dyDescent="0.2">
      <c r="A3057" t="str">
        <f>"29/04/2014"</f>
        <v>29/04/2014</v>
      </c>
      <c r="B3057">
        <v>1</v>
      </c>
      <c r="C3057">
        <v>17000</v>
      </c>
      <c r="D3057">
        <v>16334</v>
      </c>
      <c r="E3057">
        <v>16334</v>
      </c>
      <c r="F3057">
        <v>16334</v>
      </c>
      <c r="G3057" s="1">
        <v>7.4999999999999997E-3</v>
      </c>
      <c r="H3057" s="1">
        <v>7.4000000000000003E-3</v>
      </c>
      <c r="I3057" s="1">
        <v>7.4000000000000003E-3</v>
      </c>
      <c r="J3057" s="1">
        <v>1</v>
      </c>
    </row>
    <row r="3058" spans="1:10" x14ac:dyDescent="0.2">
      <c r="A3058" t="str">
        <f>"28/04/2014"</f>
        <v>28/04/2014</v>
      </c>
      <c r="B3058">
        <v>1</v>
      </c>
      <c r="C3058">
        <v>17000</v>
      </c>
      <c r="D3058">
        <v>13766</v>
      </c>
      <c r="E3058">
        <v>13766</v>
      </c>
      <c r="F3058">
        <v>13766</v>
      </c>
      <c r="G3058" s="1">
        <v>7.4000000000000003E-3</v>
      </c>
      <c r="H3058" s="1">
        <v>7.4000000000000003E-3</v>
      </c>
      <c r="I3058" s="1">
        <v>7.4000000000000003E-3</v>
      </c>
      <c r="J3058" s="1">
        <v>1</v>
      </c>
    </row>
    <row r="3059" spans="1:10" x14ac:dyDescent="0.2">
      <c r="A3059" t="str">
        <f>"27/04/2014"</f>
        <v>27/04/2014</v>
      </c>
      <c r="B3059">
        <v>1</v>
      </c>
      <c r="C3059">
        <v>19000</v>
      </c>
      <c r="D3059">
        <v>29410</v>
      </c>
      <c r="E3059">
        <v>19000</v>
      </c>
      <c r="F3059">
        <v>19000</v>
      </c>
      <c r="G3059" s="1">
        <v>7.4999999999999997E-3</v>
      </c>
      <c r="H3059" s="1">
        <v>7.4000000000000003E-3</v>
      </c>
      <c r="I3059" s="1">
        <v>7.4000000000000003E-3</v>
      </c>
      <c r="J3059" s="1">
        <v>0.42170000000000002</v>
      </c>
    </row>
    <row r="3060" spans="1:10" x14ac:dyDescent="0.2">
      <c r="A3060" t="str">
        <f>"24/04/2014"</f>
        <v>24/04/2014</v>
      </c>
      <c r="B3060">
        <v>3</v>
      </c>
      <c r="C3060">
        <v>32000</v>
      </c>
      <c r="D3060">
        <v>96814</v>
      </c>
      <c r="E3060">
        <v>32000</v>
      </c>
      <c r="F3060">
        <v>32000</v>
      </c>
      <c r="G3060" s="1">
        <v>7.4999999999999997E-3</v>
      </c>
      <c r="H3060" s="1">
        <v>7.4999999999999997E-3</v>
      </c>
      <c r="I3060" s="1">
        <v>7.4999999999999997E-3</v>
      </c>
      <c r="J3060" s="1">
        <v>0.21909999999999999</v>
      </c>
    </row>
    <row r="3061" spans="1:10" x14ac:dyDescent="0.2">
      <c r="A3061" t="str">
        <f>"23/04/2014"</f>
        <v>23/04/2014</v>
      </c>
      <c r="B3061">
        <v>1</v>
      </c>
      <c r="C3061">
        <v>32000</v>
      </c>
      <c r="D3061">
        <v>100864</v>
      </c>
      <c r="E3061">
        <v>32000</v>
      </c>
      <c r="F3061">
        <v>32000</v>
      </c>
      <c r="G3061" s="1">
        <v>7.4999999999999997E-3</v>
      </c>
      <c r="H3061" s="1">
        <v>7.4999999999999997E-3</v>
      </c>
      <c r="I3061" s="1">
        <v>7.4999999999999997E-3</v>
      </c>
      <c r="J3061" s="1">
        <v>0.21160000000000001</v>
      </c>
    </row>
    <row r="3062" spans="1:10" x14ac:dyDescent="0.2">
      <c r="A3062" t="str">
        <f>"22/04/2014"</f>
        <v>22/04/2014</v>
      </c>
      <c r="B3062">
        <v>1</v>
      </c>
      <c r="C3062">
        <v>31000</v>
      </c>
      <c r="D3062">
        <v>87074</v>
      </c>
      <c r="E3062">
        <v>31000</v>
      </c>
      <c r="F3062">
        <v>31000</v>
      </c>
      <c r="G3062" s="1">
        <v>7.4999999999999997E-3</v>
      </c>
      <c r="H3062" s="1">
        <v>7.4999999999999997E-3</v>
      </c>
      <c r="I3062" s="1">
        <v>7.4999999999999997E-3</v>
      </c>
      <c r="J3062" s="1">
        <v>0.23710000000000001</v>
      </c>
    </row>
    <row r="3063" spans="1:10" x14ac:dyDescent="0.2">
      <c r="A3063" t="str">
        <f>"17/04/2014"</f>
        <v>17/04/2014</v>
      </c>
      <c r="B3063">
        <v>5</v>
      </c>
      <c r="C3063">
        <v>33000</v>
      </c>
      <c r="D3063">
        <v>86080</v>
      </c>
      <c r="E3063">
        <v>33000</v>
      </c>
      <c r="F3063">
        <v>33000</v>
      </c>
      <c r="G3063" s="1">
        <v>7.4999999999999997E-3</v>
      </c>
      <c r="H3063" s="1">
        <v>7.4999999999999997E-3</v>
      </c>
      <c r="I3063" s="1">
        <v>7.4999999999999997E-3</v>
      </c>
      <c r="J3063" s="1">
        <v>0.25240000000000001</v>
      </c>
    </row>
    <row r="3064" spans="1:10" x14ac:dyDescent="0.2">
      <c r="A3064" t="str">
        <f>"16/04/2014"</f>
        <v>16/04/2014</v>
      </c>
      <c r="B3064">
        <v>1</v>
      </c>
      <c r="C3064">
        <v>34000</v>
      </c>
      <c r="D3064">
        <v>92482</v>
      </c>
      <c r="E3064">
        <v>34000</v>
      </c>
      <c r="F3064">
        <v>34000</v>
      </c>
      <c r="G3064" s="1">
        <v>7.4999999999999997E-3</v>
      </c>
      <c r="H3064" s="1">
        <v>7.4999999999999997E-3</v>
      </c>
      <c r="I3064" s="1">
        <v>7.4999999999999997E-3</v>
      </c>
      <c r="J3064" s="1">
        <v>0.23300000000000001</v>
      </c>
    </row>
    <row r="3065" spans="1:10" x14ac:dyDescent="0.2">
      <c r="A3065" t="str">
        <f>"13/04/2014"</f>
        <v>13/04/2014</v>
      </c>
      <c r="B3065">
        <v>3</v>
      </c>
      <c r="C3065">
        <v>36000</v>
      </c>
      <c r="D3065">
        <v>86100</v>
      </c>
      <c r="E3065">
        <v>36000</v>
      </c>
      <c r="F3065">
        <v>36000</v>
      </c>
      <c r="G3065" s="1">
        <v>7.4999999999999997E-3</v>
      </c>
      <c r="H3065" s="1">
        <v>7.4999999999999997E-3</v>
      </c>
      <c r="I3065" s="1">
        <v>7.4999999999999997E-3</v>
      </c>
      <c r="J3065" s="1">
        <v>0.28560000000000002</v>
      </c>
    </row>
    <row r="3066" spans="1:10" x14ac:dyDescent="0.2">
      <c r="A3066" t="str">
        <f>"10/04/2014"</f>
        <v>10/04/2014</v>
      </c>
      <c r="B3066">
        <v>3</v>
      </c>
      <c r="C3066">
        <v>36000</v>
      </c>
      <c r="D3066">
        <v>87188</v>
      </c>
      <c r="E3066">
        <v>36000</v>
      </c>
      <c r="F3066">
        <v>36000</v>
      </c>
      <c r="G3066" s="1">
        <v>7.4999999999999997E-3</v>
      </c>
      <c r="H3066" s="1">
        <v>7.4999999999999997E-3</v>
      </c>
      <c r="I3066" s="1">
        <v>7.4999999999999997E-3</v>
      </c>
      <c r="J3066" s="1">
        <v>0.2772</v>
      </c>
    </row>
    <row r="3067" spans="1:10" x14ac:dyDescent="0.2">
      <c r="A3067" t="str">
        <f>"09/04/2014"</f>
        <v>09/04/2014</v>
      </c>
      <c r="B3067">
        <v>1</v>
      </c>
      <c r="C3067">
        <v>37000</v>
      </c>
      <c r="D3067">
        <v>98709</v>
      </c>
      <c r="E3067">
        <v>37000</v>
      </c>
      <c r="F3067">
        <v>37000</v>
      </c>
      <c r="G3067" s="1">
        <v>7.4999999999999997E-3</v>
      </c>
      <c r="H3067" s="1">
        <v>7.4999999999999997E-3</v>
      </c>
      <c r="I3067" s="1">
        <v>7.4999999999999997E-3</v>
      </c>
      <c r="J3067" s="1">
        <v>0.26450000000000001</v>
      </c>
    </row>
    <row r="3068" spans="1:10" x14ac:dyDescent="0.2">
      <c r="A3068" t="str">
        <f>"08/04/2014"</f>
        <v>08/04/2014</v>
      </c>
      <c r="B3068">
        <v>1</v>
      </c>
      <c r="C3068">
        <v>37000</v>
      </c>
      <c r="D3068">
        <v>90909</v>
      </c>
      <c r="E3068">
        <v>37000</v>
      </c>
      <c r="F3068">
        <v>37000</v>
      </c>
      <c r="G3068" s="1">
        <v>7.4999999999999997E-3</v>
      </c>
      <c r="H3068" s="1">
        <v>7.4999999999999997E-3</v>
      </c>
      <c r="I3068" s="1">
        <v>7.4999999999999997E-3</v>
      </c>
      <c r="J3068" s="1">
        <v>0.2999</v>
      </c>
    </row>
    <row r="3069" spans="1:10" x14ac:dyDescent="0.2">
      <c r="A3069" t="str">
        <f>"07/04/2014"</f>
        <v>07/04/2014</v>
      </c>
      <c r="B3069">
        <v>1</v>
      </c>
      <c r="C3069">
        <v>37000</v>
      </c>
      <c r="D3069">
        <v>91618</v>
      </c>
      <c r="E3069">
        <v>37000</v>
      </c>
      <c r="F3069">
        <v>37000</v>
      </c>
      <c r="G3069" s="1">
        <v>7.4999999999999997E-3</v>
      </c>
      <c r="H3069" s="1">
        <v>7.4999999999999997E-3</v>
      </c>
      <c r="I3069" s="1">
        <v>7.4999999999999997E-3</v>
      </c>
      <c r="J3069" s="1">
        <v>0.2888</v>
      </c>
    </row>
    <row r="3070" spans="1:10" x14ac:dyDescent="0.2">
      <c r="A3070" t="str">
        <f>"06/04/2014"</f>
        <v>06/04/2014</v>
      </c>
      <c r="B3070">
        <v>1</v>
      </c>
      <c r="C3070">
        <v>36000</v>
      </c>
      <c r="D3070">
        <v>88800</v>
      </c>
      <c r="E3070">
        <v>36000</v>
      </c>
      <c r="F3070">
        <v>36000</v>
      </c>
      <c r="G3070" s="1">
        <v>7.4999999999999997E-3</v>
      </c>
      <c r="H3070" s="1">
        <v>7.4999999999999997E-3</v>
      </c>
      <c r="I3070" s="1">
        <v>7.4999999999999997E-3</v>
      </c>
      <c r="J3070" s="1">
        <v>0.28839999999999999</v>
      </c>
    </row>
    <row r="3071" spans="1:10" x14ac:dyDescent="0.2">
      <c r="A3071" t="str">
        <f>"03/04/2014"</f>
        <v>03/04/2014</v>
      </c>
      <c r="B3071">
        <v>3</v>
      </c>
      <c r="C3071">
        <v>36000</v>
      </c>
      <c r="D3071">
        <v>82540</v>
      </c>
      <c r="E3071">
        <v>36000</v>
      </c>
      <c r="F3071">
        <v>36000</v>
      </c>
      <c r="G3071" s="1">
        <v>7.4999999999999997E-3</v>
      </c>
      <c r="H3071" s="1">
        <v>7.4999999999999997E-3</v>
      </c>
      <c r="I3071" s="1">
        <v>7.4999999999999997E-3</v>
      </c>
      <c r="J3071" s="1">
        <v>0.32090000000000002</v>
      </c>
    </row>
    <row r="3072" spans="1:10" x14ac:dyDescent="0.2">
      <c r="A3072" t="str">
        <f>"02/04/2014"</f>
        <v>02/04/2014</v>
      </c>
      <c r="B3072">
        <v>1</v>
      </c>
      <c r="C3072">
        <v>40000</v>
      </c>
      <c r="D3072">
        <v>96640</v>
      </c>
      <c r="E3072">
        <v>40000</v>
      </c>
      <c r="F3072">
        <v>40000</v>
      </c>
      <c r="G3072" s="1">
        <v>7.4999999999999997E-3</v>
      </c>
      <c r="H3072" s="1">
        <v>7.4999999999999997E-3</v>
      </c>
      <c r="I3072" s="1">
        <v>7.4999999999999997E-3</v>
      </c>
      <c r="J3072" s="1">
        <v>0.30249999999999999</v>
      </c>
    </row>
    <row r="3073" spans="1:10" x14ac:dyDescent="0.2">
      <c r="A3073" t="str">
        <f>"01/04/2014"</f>
        <v>01/04/2014</v>
      </c>
      <c r="B3073">
        <v>1</v>
      </c>
      <c r="C3073">
        <v>39000</v>
      </c>
      <c r="D3073">
        <v>73923</v>
      </c>
      <c r="E3073">
        <v>39000</v>
      </c>
      <c r="F3073">
        <v>39000</v>
      </c>
      <c r="G3073" s="1">
        <v>7.4999999999999997E-3</v>
      </c>
      <c r="H3073" s="1">
        <v>7.4999999999999997E-3</v>
      </c>
      <c r="I3073" s="1">
        <v>7.4999999999999997E-3</v>
      </c>
      <c r="J3073" s="1">
        <v>0.37980000000000003</v>
      </c>
    </row>
    <row r="3074" spans="1:10" x14ac:dyDescent="0.2">
      <c r="A3074" t="str">
        <f>"31/03/2014"</f>
        <v>31/03/2014</v>
      </c>
      <c r="B3074">
        <v>1</v>
      </c>
      <c r="C3074">
        <v>37000</v>
      </c>
      <c r="D3074">
        <v>57217</v>
      </c>
      <c r="E3074">
        <v>37000</v>
      </c>
      <c r="F3074">
        <v>37000</v>
      </c>
      <c r="G3074" s="1">
        <v>7.4999999999999997E-3</v>
      </c>
      <c r="H3074" s="1">
        <v>7.4000000000000003E-3</v>
      </c>
      <c r="I3074" s="1">
        <v>7.4000000000000003E-3</v>
      </c>
      <c r="J3074" s="1">
        <v>0.46539999999999998</v>
      </c>
    </row>
    <row r="3075" spans="1:10" x14ac:dyDescent="0.2">
      <c r="A3075" t="str">
        <f>"30/03/2014"</f>
        <v>30/03/2014</v>
      </c>
      <c r="B3075">
        <v>1</v>
      </c>
      <c r="C3075">
        <v>30000</v>
      </c>
      <c r="D3075">
        <v>46788</v>
      </c>
      <c r="E3075">
        <v>30000</v>
      </c>
      <c r="F3075">
        <v>30000</v>
      </c>
      <c r="G3075" s="1">
        <v>7.4999999999999997E-3</v>
      </c>
      <c r="H3075" s="1">
        <v>7.4999999999999997E-3</v>
      </c>
      <c r="I3075" s="1">
        <v>7.4999999999999997E-3</v>
      </c>
      <c r="J3075" s="1">
        <v>0.5282</v>
      </c>
    </row>
    <row r="3076" spans="1:10" x14ac:dyDescent="0.2">
      <c r="A3076" t="str">
        <f>"27/03/2014"</f>
        <v>27/03/2014</v>
      </c>
      <c r="B3076">
        <v>3</v>
      </c>
      <c r="C3076">
        <v>28000</v>
      </c>
      <c r="D3076">
        <v>33782</v>
      </c>
      <c r="E3076">
        <v>28000</v>
      </c>
      <c r="F3076">
        <v>28000</v>
      </c>
      <c r="G3076" s="1">
        <v>7.4999999999999997E-3</v>
      </c>
      <c r="H3076" s="1">
        <v>7.4999999999999997E-3</v>
      </c>
      <c r="I3076" s="1">
        <v>7.4999999999999997E-3</v>
      </c>
      <c r="J3076" s="1">
        <v>0.76929999999999998</v>
      </c>
    </row>
    <row r="3077" spans="1:10" x14ac:dyDescent="0.2">
      <c r="A3077" t="str">
        <f>"26/03/2014"</f>
        <v>26/03/2014</v>
      </c>
      <c r="B3077">
        <v>1</v>
      </c>
      <c r="C3077">
        <v>28000</v>
      </c>
      <c r="D3077">
        <v>26593</v>
      </c>
      <c r="E3077">
        <v>26593</v>
      </c>
      <c r="F3077">
        <v>26593</v>
      </c>
      <c r="G3077" s="1">
        <v>7.4999999999999997E-3</v>
      </c>
      <c r="H3077" s="1">
        <v>7.4000000000000003E-3</v>
      </c>
      <c r="I3077" s="1">
        <v>7.4000000000000003E-3</v>
      </c>
      <c r="J3077" s="1">
        <v>1</v>
      </c>
    </row>
    <row r="3078" spans="1:10" x14ac:dyDescent="0.2">
      <c r="A3078" t="str">
        <f>"25/03/2014"</f>
        <v>25/03/2014</v>
      </c>
      <c r="B3078">
        <v>1</v>
      </c>
      <c r="C3078">
        <v>27000</v>
      </c>
      <c r="D3078">
        <v>39868</v>
      </c>
      <c r="E3078">
        <v>27000</v>
      </c>
      <c r="F3078">
        <v>27000</v>
      </c>
      <c r="G3078" s="1">
        <v>7.4999999999999997E-3</v>
      </c>
      <c r="H3078" s="1">
        <v>7.4000000000000003E-3</v>
      </c>
      <c r="I3078" s="1">
        <v>7.4000000000000003E-3</v>
      </c>
      <c r="J3078" s="1">
        <v>0.4894</v>
      </c>
    </row>
    <row r="3079" spans="1:10" x14ac:dyDescent="0.2">
      <c r="A3079" t="str">
        <f>"24/03/2014"</f>
        <v>24/03/2014</v>
      </c>
      <c r="B3079">
        <v>1</v>
      </c>
      <c r="C3079">
        <v>27000</v>
      </c>
      <c r="D3079">
        <v>49140</v>
      </c>
      <c r="E3079">
        <v>27000</v>
      </c>
      <c r="F3079">
        <v>27000</v>
      </c>
      <c r="G3079" s="1">
        <v>7.4999999999999997E-3</v>
      </c>
      <c r="H3079" s="1">
        <v>7.4000000000000003E-3</v>
      </c>
      <c r="I3079" s="1">
        <v>7.4000000000000003E-3</v>
      </c>
      <c r="J3079" s="1">
        <v>0.3674</v>
      </c>
    </row>
    <row r="3080" spans="1:10" x14ac:dyDescent="0.2">
      <c r="A3080" t="str">
        <f>"23/03/2014"</f>
        <v>23/03/2014</v>
      </c>
      <c r="B3080">
        <v>1</v>
      </c>
      <c r="C3080">
        <v>27000</v>
      </c>
      <c r="D3080">
        <v>65947</v>
      </c>
      <c r="E3080">
        <v>27000</v>
      </c>
      <c r="F3080">
        <v>27000</v>
      </c>
      <c r="G3080" s="1">
        <v>7.4999999999999997E-3</v>
      </c>
      <c r="H3080" s="1">
        <v>7.4999999999999997E-3</v>
      </c>
      <c r="I3080" s="1">
        <v>7.4999999999999997E-3</v>
      </c>
      <c r="J3080" s="1">
        <v>0.2893</v>
      </c>
    </row>
    <row r="3081" spans="1:10" x14ac:dyDescent="0.2">
      <c r="A3081" t="str">
        <f>"20/03/2014"</f>
        <v>20/03/2014</v>
      </c>
      <c r="B3081">
        <v>3</v>
      </c>
      <c r="C3081">
        <v>29000</v>
      </c>
      <c r="D3081">
        <v>57066</v>
      </c>
      <c r="E3081">
        <v>29000</v>
      </c>
      <c r="F3081">
        <v>29000</v>
      </c>
      <c r="G3081" s="1">
        <v>7.4999999999999997E-3</v>
      </c>
      <c r="H3081" s="1">
        <v>7.4999999999999997E-3</v>
      </c>
      <c r="I3081" s="1">
        <v>7.4999999999999997E-3</v>
      </c>
      <c r="J3081" s="1">
        <v>0.3412</v>
      </c>
    </row>
    <row r="3082" spans="1:10" x14ac:dyDescent="0.2">
      <c r="A3082" t="str">
        <f>"19/03/2014"</f>
        <v>19/03/2014</v>
      </c>
      <c r="B3082">
        <v>1</v>
      </c>
      <c r="C3082">
        <v>25000</v>
      </c>
      <c r="D3082">
        <v>55427</v>
      </c>
      <c r="E3082">
        <v>25000</v>
      </c>
      <c r="F3082">
        <v>25000</v>
      </c>
      <c r="G3082" s="1">
        <v>7.4999999999999997E-3</v>
      </c>
      <c r="H3082" s="1">
        <v>7.4000000000000003E-3</v>
      </c>
      <c r="I3082" s="1">
        <v>7.4000000000000003E-3</v>
      </c>
      <c r="J3082" s="1">
        <v>0.25240000000000001</v>
      </c>
    </row>
    <row r="3083" spans="1:10" x14ac:dyDescent="0.2">
      <c r="A3083" t="str">
        <f>"18/03/2014"</f>
        <v>18/03/2014</v>
      </c>
      <c r="B3083">
        <v>1</v>
      </c>
      <c r="C3083">
        <v>34000</v>
      </c>
      <c r="D3083">
        <v>70084</v>
      </c>
      <c r="E3083">
        <v>34000</v>
      </c>
      <c r="F3083">
        <v>34000</v>
      </c>
      <c r="G3083" s="1">
        <v>7.4999999999999997E-3</v>
      </c>
      <c r="H3083" s="1">
        <v>7.4999999999999997E-3</v>
      </c>
      <c r="I3083" s="1">
        <v>7.4999999999999997E-3</v>
      </c>
      <c r="J3083" s="1">
        <v>0.3382</v>
      </c>
    </row>
    <row r="3084" spans="1:10" x14ac:dyDescent="0.2">
      <c r="A3084" t="str">
        <f>"17/03/2014"</f>
        <v>17/03/2014</v>
      </c>
      <c r="B3084">
        <v>1</v>
      </c>
      <c r="C3084">
        <v>38000</v>
      </c>
      <c r="D3084">
        <v>73210</v>
      </c>
      <c r="E3084">
        <v>38000</v>
      </c>
      <c r="F3084">
        <v>38000</v>
      </c>
      <c r="G3084" s="1">
        <v>7.4999999999999997E-3</v>
      </c>
      <c r="H3084" s="1">
        <v>7.4999999999999997E-3</v>
      </c>
      <c r="I3084" s="1">
        <v>7.4999999999999997E-3</v>
      </c>
      <c r="J3084" s="1">
        <v>0.379</v>
      </c>
    </row>
    <row r="3085" spans="1:10" x14ac:dyDescent="0.2">
      <c r="A3085" t="str">
        <f>"13/03/2014"</f>
        <v>13/03/2014</v>
      </c>
      <c r="B3085">
        <v>4</v>
      </c>
      <c r="C3085">
        <v>38000</v>
      </c>
      <c r="D3085">
        <v>85742</v>
      </c>
      <c r="E3085">
        <v>38000</v>
      </c>
      <c r="F3085">
        <v>38000</v>
      </c>
      <c r="G3085" s="1">
        <v>7.4999999999999997E-3</v>
      </c>
      <c r="H3085" s="1">
        <v>7.4999999999999997E-3</v>
      </c>
      <c r="I3085" s="1">
        <v>7.4999999999999997E-3</v>
      </c>
      <c r="J3085" s="1">
        <v>0.3301</v>
      </c>
    </row>
    <row r="3086" spans="1:10" x14ac:dyDescent="0.2">
      <c r="A3086" t="str">
        <f>"12/03/2014"</f>
        <v>12/03/2014</v>
      </c>
      <c r="B3086">
        <v>1</v>
      </c>
      <c r="C3086">
        <v>39000</v>
      </c>
      <c r="D3086">
        <v>80706</v>
      </c>
      <c r="E3086">
        <v>39000</v>
      </c>
      <c r="F3086">
        <v>39000</v>
      </c>
      <c r="G3086" s="1">
        <v>7.4999999999999997E-3</v>
      </c>
      <c r="H3086" s="1">
        <v>7.4999999999999997E-3</v>
      </c>
      <c r="I3086" s="1">
        <v>7.4999999999999997E-3</v>
      </c>
      <c r="J3086" s="1">
        <v>0.34389999999999998</v>
      </c>
    </row>
    <row r="3087" spans="1:10" x14ac:dyDescent="0.2">
      <c r="A3087" t="str">
        <f>"11/03/2014"</f>
        <v>11/03/2014</v>
      </c>
      <c r="B3087">
        <v>1</v>
      </c>
      <c r="C3087">
        <v>39000</v>
      </c>
      <c r="D3087">
        <v>94464</v>
      </c>
      <c r="E3087">
        <v>39000</v>
      </c>
      <c r="F3087">
        <v>39000</v>
      </c>
      <c r="G3087" s="1">
        <v>7.4999999999999997E-3</v>
      </c>
      <c r="H3087" s="1">
        <v>7.4999999999999997E-3</v>
      </c>
      <c r="I3087" s="1">
        <v>7.4999999999999997E-3</v>
      </c>
      <c r="J3087" s="1">
        <v>0.29199999999999998</v>
      </c>
    </row>
    <row r="3088" spans="1:10" x14ac:dyDescent="0.2">
      <c r="A3088" t="str">
        <f>"10/03/2014"</f>
        <v>10/03/2014</v>
      </c>
      <c r="B3088">
        <v>1</v>
      </c>
      <c r="C3088">
        <v>39000</v>
      </c>
      <c r="D3088">
        <v>86788</v>
      </c>
      <c r="E3088">
        <v>39000</v>
      </c>
      <c r="F3088">
        <v>39000</v>
      </c>
      <c r="G3088" s="1">
        <v>7.4999999999999997E-3</v>
      </c>
      <c r="H3088" s="1">
        <v>7.4999999999999997E-3</v>
      </c>
      <c r="I3088" s="1">
        <v>7.4999999999999997E-3</v>
      </c>
      <c r="J3088" s="1">
        <v>0.33160000000000001</v>
      </c>
    </row>
    <row r="3089" spans="1:10" x14ac:dyDescent="0.2">
      <c r="A3089" t="str">
        <f>"09/03/2014"</f>
        <v>09/03/2014</v>
      </c>
      <c r="B3089">
        <v>1</v>
      </c>
      <c r="C3089">
        <v>38000</v>
      </c>
      <c r="D3089">
        <v>75637</v>
      </c>
      <c r="E3089">
        <v>38000</v>
      </c>
      <c r="F3089">
        <v>38000</v>
      </c>
      <c r="G3089" s="1">
        <v>7.4999999999999997E-3</v>
      </c>
      <c r="H3089" s="1">
        <v>7.4999999999999997E-3</v>
      </c>
      <c r="I3089" s="1">
        <v>7.4999999999999997E-3</v>
      </c>
      <c r="J3089" s="1">
        <v>0.38800000000000001</v>
      </c>
    </row>
    <row r="3090" spans="1:10" x14ac:dyDescent="0.2">
      <c r="A3090" t="str">
        <f>"06/03/2014"</f>
        <v>06/03/2014</v>
      </c>
      <c r="B3090">
        <v>3</v>
      </c>
      <c r="C3090">
        <v>38000</v>
      </c>
      <c r="D3090">
        <v>67196</v>
      </c>
      <c r="E3090">
        <v>38000</v>
      </c>
      <c r="F3090">
        <v>38000</v>
      </c>
      <c r="G3090" s="1">
        <v>7.4999999999999997E-3</v>
      </c>
      <c r="H3090" s="1">
        <v>7.4999999999999997E-3</v>
      </c>
      <c r="I3090" s="1">
        <v>7.4999999999999997E-3</v>
      </c>
      <c r="J3090" s="1">
        <v>0.44440000000000002</v>
      </c>
    </row>
    <row r="3091" spans="1:10" x14ac:dyDescent="0.2">
      <c r="A3091" t="str">
        <f>"05/03/2014"</f>
        <v>05/03/2014</v>
      </c>
      <c r="B3091">
        <v>1</v>
      </c>
      <c r="C3091">
        <v>39000</v>
      </c>
      <c r="D3091">
        <v>62691</v>
      </c>
      <c r="E3091">
        <v>39000</v>
      </c>
      <c r="F3091">
        <v>39000</v>
      </c>
      <c r="G3091" s="1">
        <v>7.4999999999999997E-3</v>
      </c>
      <c r="H3091" s="1">
        <v>7.4999999999999997E-3</v>
      </c>
      <c r="I3091" s="1">
        <v>7.4999999999999997E-3</v>
      </c>
      <c r="J3091" s="1">
        <v>0.50949999999999995</v>
      </c>
    </row>
    <row r="3092" spans="1:10" x14ac:dyDescent="0.2">
      <c r="A3092" t="str">
        <f>"04/03/2014"</f>
        <v>04/03/2014</v>
      </c>
      <c r="B3092">
        <v>1</v>
      </c>
      <c r="C3092">
        <v>39000</v>
      </c>
      <c r="D3092">
        <v>64938</v>
      </c>
      <c r="E3092">
        <v>39000</v>
      </c>
      <c r="F3092">
        <v>39000</v>
      </c>
      <c r="G3092" s="1">
        <v>7.4999999999999997E-3</v>
      </c>
      <c r="H3092" s="1">
        <v>7.4999999999999997E-3</v>
      </c>
      <c r="I3092" s="1">
        <v>7.4999999999999997E-3</v>
      </c>
      <c r="J3092" s="1">
        <v>0.49320000000000003</v>
      </c>
    </row>
    <row r="3093" spans="1:10" x14ac:dyDescent="0.2">
      <c r="A3093" t="str">
        <f>"03/03/2014"</f>
        <v>03/03/2014</v>
      </c>
      <c r="B3093">
        <v>1</v>
      </c>
      <c r="C3093">
        <v>39000</v>
      </c>
      <c r="D3093">
        <v>65757</v>
      </c>
      <c r="E3093">
        <v>39000</v>
      </c>
      <c r="F3093">
        <v>39000</v>
      </c>
      <c r="G3093" s="1">
        <v>7.4999999999999997E-3</v>
      </c>
      <c r="H3093" s="1">
        <v>7.4999999999999997E-3</v>
      </c>
      <c r="I3093" s="1">
        <v>7.4999999999999997E-3</v>
      </c>
      <c r="J3093" s="1">
        <v>0.48620000000000002</v>
      </c>
    </row>
    <row r="3094" spans="1:10" x14ac:dyDescent="0.2">
      <c r="A3094" t="str">
        <f>"02/03/2014"</f>
        <v>02/03/2014</v>
      </c>
      <c r="B3094">
        <v>1</v>
      </c>
      <c r="C3094">
        <v>40000</v>
      </c>
      <c r="D3094">
        <v>59169</v>
      </c>
      <c r="E3094">
        <v>40000</v>
      </c>
      <c r="F3094">
        <v>40000</v>
      </c>
      <c r="G3094" s="1">
        <v>7.4999999999999997E-3</v>
      </c>
      <c r="H3094" s="1">
        <v>7.4999999999999997E-3</v>
      </c>
      <c r="I3094" s="1">
        <v>7.4999999999999997E-3</v>
      </c>
      <c r="J3094" s="1">
        <v>0.58489999999999998</v>
      </c>
    </row>
    <row r="3095" spans="1:10" x14ac:dyDescent="0.2">
      <c r="A3095" t="str">
        <f>"27/02/2014"</f>
        <v>27/02/2014</v>
      </c>
      <c r="B3095">
        <v>3</v>
      </c>
      <c r="C3095">
        <v>29000</v>
      </c>
      <c r="D3095">
        <v>33808</v>
      </c>
      <c r="E3095">
        <v>29000</v>
      </c>
      <c r="F3095">
        <v>29000</v>
      </c>
      <c r="G3095" s="1">
        <v>7.4999999999999997E-3</v>
      </c>
      <c r="H3095" s="1">
        <v>7.4999999999999997E-3</v>
      </c>
      <c r="I3095" s="1">
        <v>7.4999999999999997E-3</v>
      </c>
      <c r="J3095" s="1">
        <v>0.8135</v>
      </c>
    </row>
    <row r="3096" spans="1:10" x14ac:dyDescent="0.2">
      <c r="A3096" t="str">
        <f>"26/02/2014"</f>
        <v>26/02/2014</v>
      </c>
      <c r="B3096">
        <v>1</v>
      </c>
      <c r="C3096">
        <v>25000</v>
      </c>
      <c r="D3096">
        <v>23713</v>
      </c>
      <c r="E3096">
        <v>23713</v>
      </c>
      <c r="F3096">
        <v>23713</v>
      </c>
      <c r="G3096" s="1">
        <v>0.01</v>
      </c>
      <c r="H3096" s="1">
        <v>9.9000000000000008E-3</v>
      </c>
      <c r="I3096" s="1">
        <v>9.9000000000000008E-3</v>
      </c>
      <c r="J3096" s="1">
        <v>1</v>
      </c>
    </row>
    <row r="3097" spans="1:10" x14ac:dyDescent="0.2">
      <c r="A3097" t="str">
        <f>"25/02/2014"</f>
        <v>25/02/2014</v>
      </c>
      <c r="B3097">
        <v>1</v>
      </c>
      <c r="C3097">
        <v>25000</v>
      </c>
      <c r="D3097">
        <v>37696</v>
      </c>
      <c r="E3097">
        <v>25000</v>
      </c>
      <c r="F3097">
        <v>25000</v>
      </c>
      <c r="G3097" s="1">
        <v>0.01</v>
      </c>
      <c r="H3097" s="1">
        <v>0.01</v>
      </c>
      <c r="I3097" s="1">
        <v>0.01</v>
      </c>
      <c r="J3097" s="1">
        <v>0.53059999999999996</v>
      </c>
    </row>
    <row r="3098" spans="1:10" x14ac:dyDescent="0.2">
      <c r="A3098" t="str">
        <f>"24/02/2014"</f>
        <v>24/02/2014</v>
      </c>
      <c r="B3098">
        <v>1</v>
      </c>
      <c r="C3098">
        <v>25000</v>
      </c>
      <c r="D3098">
        <v>43666</v>
      </c>
      <c r="E3098">
        <v>25000</v>
      </c>
      <c r="F3098">
        <v>25000</v>
      </c>
      <c r="G3098" s="1">
        <v>0.01</v>
      </c>
      <c r="H3098" s="1">
        <v>0.01</v>
      </c>
      <c r="I3098" s="1">
        <v>0.01</v>
      </c>
      <c r="J3098" s="1">
        <v>0.41489999999999999</v>
      </c>
    </row>
    <row r="3099" spans="1:10" x14ac:dyDescent="0.2">
      <c r="A3099" t="str">
        <f>"23/02/2014"</f>
        <v>23/02/2014</v>
      </c>
      <c r="B3099">
        <v>1</v>
      </c>
      <c r="C3099">
        <v>26000</v>
      </c>
      <c r="D3099">
        <v>45723</v>
      </c>
      <c r="E3099">
        <v>26000</v>
      </c>
      <c r="F3099">
        <v>26000</v>
      </c>
      <c r="G3099" s="1">
        <v>0.01</v>
      </c>
      <c r="H3099" s="1">
        <v>0.01</v>
      </c>
      <c r="I3099" s="1">
        <v>0.01</v>
      </c>
      <c r="J3099" s="1">
        <v>0.40410000000000001</v>
      </c>
    </row>
    <row r="3100" spans="1:10" x14ac:dyDescent="0.2">
      <c r="A3100" t="str">
        <f>"20/02/2014"</f>
        <v>20/02/2014</v>
      </c>
      <c r="B3100">
        <v>3</v>
      </c>
      <c r="C3100">
        <v>26000</v>
      </c>
      <c r="D3100">
        <v>46361</v>
      </c>
      <c r="E3100">
        <v>26000</v>
      </c>
      <c r="F3100">
        <v>26000</v>
      </c>
      <c r="G3100" s="1">
        <v>0.01</v>
      </c>
      <c r="H3100" s="1">
        <v>0.01</v>
      </c>
      <c r="I3100" s="1">
        <v>0.01</v>
      </c>
      <c r="J3100" s="1">
        <v>0.42320000000000002</v>
      </c>
    </row>
    <row r="3101" spans="1:10" x14ac:dyDescent="0.2">
      <c r="A3101" t="str">
        <f>"19/02/2014"</f>
        <v>19/02/2014</v>
      </c>
      <c r="B3101">
        <v>1</v>
      </c>
      <c r="C3101">
        <v>23000</v>
      </c>
      <c r="D3101">
        <v>44200</v>
      </c>
      <c r="E3101">
        <v>23000</v>
      </c>
      <c r="F3101">
        <v>23000</v>
      </c>
      <c r="G3101" s="1">
        <v>0.01</v>
      </c>
      <c r="H3101" s="1">
        <v>0.01</v>
      </c>
      <c r="I3101" s="1">
        <v>0.01</v>
      </c>
      <c r="J3101" s="1">
        <v>0.41660000000000003</v>
      </c>
    </row>
    <row r="3102" spans="1:10" x14ac:dyDescent="0.2">
      <c r="A3102" t="str">
        <f>"18/02/2014"</f>
        <v>18/02/2014</v>
      </c>
      <c r="B3102">
        <v>1</v>
      </c>
      <c r="C3102">
        <v>23000</v>
      </c>
      <c r="D3102">
        <v>52029</v>
      </c>
      <c r="E3102">
        <v>23000</v>
      </c>
      <c r="F3102">
        <v>23000</v>
      </c>
      <c r="G3102" s="1">
        <v>0.01</v>
      </c>
      <c r="H3102" s="1">
        <v>0.01</v>
      </c>
      <c r="I3102" s="1">
        <v>0.01</v>
      </c>
      <c r="J3102" s="1">
        <v>0.30249999999999999</v>
      </c>
    </row>
    <row r="3103" spans="1:10" x14ac:dyDescent="0.2">
      <c r="A3103" t="str">
        <f>"17/02/2014"</f>
        <v>17/02/2014</v>
      </c>
      <c r="B3103">
        <v>1</v>
      </c>
      <c r="C3103">
        <v>25000</v>
      </c>
      <c r="D3103">
        <v>53952</v>
      </c>
      <c r="E3103">
        <v>25000</v>
      </c>
      <c r="F3103">
        <v>25000</v>
      </c>
      <c r="G3103" s="1">
        <v>0.01</v>
      </c>
      <c r="H3103" s="1">
        <v>0.01</v>
      </c>
      <c r="I3103" s="1">
        <v>0.01</v>
      </c>
      <c r="J3103" s="1">
        <v>0.3029</v>
      </c>
    </row>
    <row r="3104" spans="1:10" x14ac:dyDescent="0.2">
      <c r="A3104" t="str">
        <f>"16/02/2014"</f>
        <v>16/02/2014</v>
      </c>
      <c r="B3104">
        <v>1</v>
      </c>
      <c r="C3104">
        <v>33000</v>
      </c>
      <c r="D3104">
        <v>82231</v>
      </c>
      <c r="E3104">
        <v>33000</v>
      </c>
      <c r="F3104">
        <v>33000</v>
      </c>
      <c r="G3104" s="1">
        <v>0.01</v>
      </c>
      <c r="H3104" s="1">
        <v>0.01</v>
      </c>
      <c r="I3104" s="1">
        <v>0.01</v>
      </c>
      <c r="J3104" s="1">
        <v>0.30780000000000002</v>
      </c>
    </row>
    <row r="3105" spans="1:10" x14ac:dyDescent="0.2">
      <c r="A3105" t="str">
        <f>"13/02/2014"</f>
        <v>13/02/2014</v>
      </c>
      <c r="B3105">
        <v>3</v>
      </c>
      <c r="C3105">
        <v>33000</v>
      </c>
      <c r="D3105">
        <v>81609</v>
      </c>
      <c r="E3105">
        <v>33000</v>
      </c>
      <c r="F3105">
        <v>33000</v>
      </c>
      <c r="G3105" s="1">
        <v>0.01</v>
      </c>
      <c r="H3105" s="1">
        <v>0.01</v>
      </c>
      <c r="I3105" s="1">
        <v>0.01</v>
      </c>
      <c r="J3105" s="1">
        <v>0.30420000000000003</v>
      </c>
    </row>
    <row r="3106" spans="1:10" x14ac:dyDescent="0.2">
      <c r="A3106" t="str">
        <f>"12/02/2014"</f>
        <v>12/02/2014</v>
      </c>
      <c r="B3106">
        <v>1</v>
      </c>
      <c r="C3106">
        <v>36000</v>
      </c>
      <c r="D3106">
        <v>84743</v>
      </c>
      <c r="E3106">
        <v>36000</v>
      </c>
      <c r="F3106">
        <v>36000</v>
      </c>
      <c r="G3106" s="1">
        <v>0.01</v>
      </c>
      <c r="H3106" s="1">
        <v>0.01</v>
      </c>
      <c r="I3106" s="1">
        <v>0.01</v>
      </c>
      <c r="J3106" s="1">
        <v>0.34420000000000001</v>
      </c>
    </row>
    <row r="3107" spans="1:10" x14ac:dyDescent="0.2">
      <c r="A3107" t="str">
        <f>"11/02/2014"</f>
        <v>11/02/2014</v>
      </c>
      <c r="B3107">
        <v>1</v>
      </c>
      <c r="C3107">
        <v>36000</v>
      </c>
      <c r="D3107">
        <v>90376</v>
      </c>
      <c r="E3107">
        <v>36000</v>
      </c>
      <c r="F3107">
        <v>36000</v>
      </c>
      <c r="G3107" s="1">
        <v>0.01</v>
      </c>
      <c r="H3107" s="1">
        <v>0.01</v>
      </c>
      <c r="I3107" s="1">
        <v>0.01</v>
      </c>
      <c r="J3107" s="1">
        <v>0.30590000000000001</v>
      </c>
    </row>
    <row r="3108" spans="1:10" x14ac:dyDescent="0.2">
      <c r="A3108" t="str">
        <f>"10/02/2014"</f>
        <v>10/02/2014</v>
      </c>
      <c r="B3108">
        <v>1</v>
      </c>
      <c r="C3108">
        <v>37000</v>
      </c>
      <c r="D3108">
        <v>93851</v>
      </c>
      <c r="E3108">
        <v>37000</v>
      </c>
      <c r="F3108">
        <v>37000</v>
      </c>
      <c r="G3108" s="1">
        <v>0.01</v>
      </c>
      <c r="H3108" s="1">
        <v>0.01</v>
      </c>
      <c r="I3108" s="1">
        <v>0.01</v>
      </c>
      <c r="J3108" s="1">
        <v>0.29949999999999999</v>
      </c>
    </row>
    <row r="3109" spans="1:10" x14ac:dyDescent="0.2">
      <c r="A3109" t="str">
        <f>"09/02/2014"</f>
        <v>09/02/2014</v>
      </c>
      <c r="B3109">
        <v>1</v>
      </c>
      <c r="C3109">
        <v>37000</v>
      </c>
      <c r="D3109">
        <v>88814</v>
      </c>
      <c r="E3109">
        <v>37000</v>
      </c>
      <c r="F3109">
        <v>37000</v>
      </c>
      <c r="G3109" s="1">
        <v>0.01</v>
      </c>
      <c r="H3109" s="1">
        <v>0.01</v>
      </c>
      <c r="I3109" s="1">
        <v>0.01</v>
      </c>
      <c r="J3109" s="1">
        <v>0.32050000000000001</v>
      </c>
    </row>
    <row r="3110" spans="1:10" x14ac:dyDescent="0.2">
      <c r="A3110" t="str">
        <f>"06/02/2014"</f>
        <v>06/02/2014</v>
      </c>
      <c r="B3110">
        <v>3</v>
      </c>
      <c r="C3110">
        <v>37000</v>
      </c>
      <c r="D3110">
        <v>84416</v>
      </c>
      <c r="E3110">
        <v>37000</v>
      </c>
      <c r="F3110">
        <v>37000</v>
      </c>
      <c r="G3110" s="1">
        <v>0.01</v>
      </c>
      <c r="H3110" s="1">
        <v>0.01</v>
      </c>
      <c r="I3110" s="1">
        <v>0.01</v>
      </c>
      <c r="J3110" s="1">
        <v>0.33090000000000003</v>
      </c>
    </row>
    <row r="3111" spans="1:10" x14ac:dyDescent="0.2">
      <c r="A3111" t="str">
        <f>"05/02/2014"</f>
        <v>05/02/2014</v>
      </c>
      <c r="B3111">
        <v>1</v>
      </c>
      <c r="C3111">
        <v>38000</v>
      </c>
      <c r="D3111">
        <v>83497</v>
      </c>
      <c r="E3111">
        <v>38000</v>
      </c>
      <c r="F3111">
        <v>38000</v>
      </c>
      <c r="G3111" s="1">
        <v>0.01</v>
      </c>
      <c r="H3111" s="1">
        <v>0.01</v>
      </c>
      <c r="I3111" s="1">
        <v>0.01</v>
      </c>
      <c r="J3111" s="1">
        <v>0.3569</v>
      </c>
    </row>
    <row r="3112" spans="1:10" x14ac:dyDescent="0.2">
      <c r="A3112" t="str">
        <f>"04/02/2014"</f>
        <v>04/02/2014</v>
      </c>
      <c r="B3112">
        <v>1</v>
      </c>
      <c r="C3112">
        <v>38000</v>
      </c>
      <c r="D3112">
        <v>82573</v>
      </c>
      <c r="E3112">
        <v>38000</v>
      </c>
      <c r="F3112">
        <v>38000</v>
      </c>
      <c r="G3112" s="1">
        <v>0.01</v>
      </c>
      <c r="H3112" s="1">
        <v>0.01</v>
      </c>
      <c r="I3112" s="1">
        <v>0.01</v>
      </c>
      <c r="J3112" s="1">
        <v>0.35020000000000001</v>
      </c>
    </row>
    <row r="3113" spans="1:10" x14ac:dyDescent="0.2">
      <c r="A3113" t="str">
        <f>"03/02/2014"</f>
        <v>03/02/2014</v>
      </c>
      <c r="B3113">
        <v>1</v>
      </c>
      <c r="C3113">
        <v>40000</v>
      </c>
      <c r="D3113">
        <v>76472</v>
      </c>
      <c r="E3113">
        <v>40000</v>
      </c>
      <c r="F3113">
        <v>40000</v>
      </c>
      <c r="G3113" s="1">
        <v>0.01</v>
      </c>
      <c r="H3113" s="1">
        <v>0.01</v>
      </c>
      <c r="I3113" s="1">
        <v>0.01</v>
      </c>
      <c r="J3113" s="1">
        <v>0.41020000000000001</v>
      </c>
    </row>
    <row r="3114" spans="1:10" x14ac:dyDescent="0.2">
      <c r="A3114" t="str">
        <f>"02/02/2014"</f>
        <v>02/02/2014</v>
      </c>
      <c r="B3114">
        <v>1</v>
      </c>
      <c r="C3114">
        <v>40000</v>
      </c>
      <c r="D3114">
        <v>69243</v>
      </c>
      <c r="E3114">
        <v>40000</v>
      </c>
      <c r="F3114">
        <v>40000</v>
      </c>
      <c r="G3114" s="1">
        <v>0.01</v>
      </c>
      <c r="H3114" s="1">
        <v>0.01</v>
      </c>
      <c r="I3114" s="1">
        <v>0.01</v>
      </c>
      <c r="J3114" s="1">
        <v>0.4738</v>
      </c>
    </row>
    <row r="3115" spans="1:10" x14ac:dyDescent="0.2">
      <c r="A3115" t="str">
        <f>"30/01/2014"</f>
        <v>30/01/2014</v>
      </c>
      <c r="B3115">
        <v>3</v>
      </c>
      <c r="C3115">
        <v>28000</v>
      </c>
      <c r="D3115">
        <v>34957</v>
      </c>
      <c r="E3115">
        <v>28000</v>
      </c>
      <c r="F3115">
        <v>28000</v>
      </c>
      <c r="G3115" s="1">
        <v>0.01</v>
      </c>
      <c r="H3115" s="1">
        <v>0.01</v>
      </c>
      <c r="I3115" s="1">
        <v>0.01</v>
      </c>
      <c r="J3115" s="1">
        <v>0.71489999999999998</v>
      </c>
    </row>
    <row r="3116" spans="1:10" x14ac:dyDescent="0.2">
      <c r="A3116" t="str">
        <f>"29/01/2014"</f>
        <v>29/01/2014</v>
      </c>
      <c r="B3116">
        <v>1</v>
      </c>
      <c r="C3116">
        <v>31000</v>
      </c>
      <c r="D3116">
        <v>29232</v>
      </c>
      <c r="E3116">
        <v>29232</v>
      </c>
      <c r="F3116">
        <v>29232</v>
      </c>
      <c r="G3116" s="1">
        <v>0.01</v>
      </c>
      <c r="H3116" s="1">
        <v>9.9000000000000008E-3</v>
      </c>
      <c r="I3116" s="1">
        <v>9.9000000000000008E-3</v>
      </c>
      <c r="J3116" s="1">
        <v>1</v>
      </c>
    </row>
    <row r="3117" spans="1:10" x14ac:dyDescent="0.2">
      <c r="A3117" t="str">
        <f>"28/01/2014"</f>
        <v>28/01/2014</v>
      </c>
      <c r="B3117">
        <v>1</v>
      </c>
      <c r="C3117">
        <v>28000</v>
      </c>
      <c r="D3117">
        <v>26163</v>
      </c>
      <c r="E3117">
        <v>26163</v>
      </c>
      <c r="F3117">
        <v>26163</v>
      </c>
      <c r="G3117" s="1">
        <v>0.01</v>
      </c>
      <c r="H3117" s="1">
        <v>9.9000000000000008E-3</v>
      </c>
      <c r="I3117" s="1">
        <v>9.9000000000000008E-3</v>
      </c>
      <c r="J3117" s="1">
        <v>1</v>
      </c>
    </row>
    <row r="3118" spans="1:10" x14ac:dyDescent="0.2">
      <c r="A3118" t="str">
        <f>"27/01/2014"</f>
        <v>27/01/2014</v>
      </c>
      <c r="B3118">
        <v>1</v>
      </c>
      <c r="C3118">
        <v>26000</v>
      </c>
      <c r="D3118">
        <v>27333</v>
      </c>
      <c r="E3118">
        <v>26000</v>
      </c>
      <c r="F3118">
        <v>26000</v>
      </c>
      <c r="G3118" s="1">
        <v>0.01</v>
      </c>
      <c r="H3118" s="1">
        <v>9.9000000000000008E-3</v>
      </c>
      <c r="I3118" s="1">
        <v>9.9000000000000008E-3</v>
      </c>
      <c r="J3118" s="1">
        <v>0.77780000000000005</v>
      </c>
    </row>
    <row r="3119" spans="1:10" x14ac:dyDescent="0.2">
      <c r="A3119" t="str">
        <f>"26/01/2014"</f>
        <v>26/01/2014</v>
      </c>
      <c r="B3119">
        <v>1</v>
      </c>
      <c r="C3119">
        <v>27000</v>
      </c>
      <c r="D3119">
        <v>42735</v>
      </c>
      <c r="E3119">
        <v>27000</v>
      </c>
      <c r="F3119">
        <v>27000</v>
      </c>
      <c r="G3119" s="1">
        <v>0.01</v>
      </c>
      <c r="H3119" s="1">
        <v>9.9000000000000008E-3</v>
      </c>
      <c r="I3119" s="1">
        <v>9.9000000000000008E-3</v>
      </c>
      <c r="J3119" s="1">
        <v>0.2848</v>
      </c>
    </row>
    <row r="3120" spans="1:10" x14ac:dyDescent="0.2">
      <c r="A3120" t="str">
        <f>"23/01/2014"</f>
        <v>23/01/2014</v>
      </c>
      <c r="B3120">
        <v>3</v>
      </c>
      <c r="C3120">
        <v>28000</v>
      </c>
      <c r="D3120">
        <v>62996</v>
      </c>
      <c r="E3120">
        <v>28000</v>
      </c>
      <c r="F3120">
        <v>28000</v>
      </c>
      <c r="G3120" s="1">
        <v>0.01</v>
      </c>
      <c r="H3120" s="1">
        <v>9.9000000000000008E-3</v>
      </c>
      <c r="I3120" s="1">
        <v>9.9000000000000008E-3</v>
      </c>
      <c r="J3120" s="1">
        <v>0.1464</v>
      </c>
    </row>
    <row r="3121" spans="1:10" x14ac:dyDescent="0.2">
      <c r="A3121" t="str">
        <f>"22/01/2014"</f>
        <v>22/01/2014</v>
      </c>
      <c r="B3121">
        <v>1</v>
      </c>
      <c r="C3121">
        <v>28000</v>
      </c>
      <c r="D3121">
        <v>103848</v>
      </c>
      <c r="E3121">
        <v>28000</v>
      </c>
      <c r="F3121">
        <v>28000</v>
      </c>
      <c r="G3121" s="1">
        <v>0.01</v>
      </c>
      <c r="H3121" s="1">
        <v>9.9000000000000008E-3</v>
      </c>
      <c r="I3121" s="1">
        <v>9.9000000000000008E-3</v>
      </c>
      <c r="J3121" s="1">
        <v>9.6500000000000002E-2</v>
      </c>
    </row>
    <row r="3122" spans="1:10" x14ac:dyDescent="0.2">
      <c r="A3122" t="str">
        <f>"21/01/2014"</f>
        <v>21/01/2014</v>
      </c>
      <c r="B3122">
        <v>1</v>
      </c>
      <c r="C3122">
        <v>29000</v>
      </c>
      <c r="D3122">
        <v>91936</v>
      </c>
      <c r="E3122">
        <v>29000</v>
      </c>
      <c r="F3122">
        <v>29000</v>
      </c>
      <c r="G3122" s="1">
        <v>0.01</v>
      </c>
      <c r="H3122" s="1">
        <v>9.9000000000000008E-3</v>
      </c>
      <c r="I3122" s="1">
        <v>9.9000000000000008E-3</v>
      </c>
      <c r="J3122" s="1">
        <v>0.13070000000000001</v>
      </c>
    </row>
    <row r="3123" spans="1:10" x14ac:dyDescent="0.2">
      <c r="A3123" t="str">
        <f>"20/01/2014"</f>
        <v>20/01/2014</v>
      </c>
      <c r="B3123">
        <v>1</v>
      </c>
      <c r="C3123">
        <v>30000</v>
      </c>
      <c r="D3123">
        <v>101990</v>
      </c>
      <c r="E3123">
        <v>30000</v>
      </c>
      <c r="F3123">
        <v>30000</v>
      </c>
      <c r="G3123" s="1">
        <v>0.01</v>
      </c>
      <c r="H3123" s="1">
        <v>9.9000000000000008E-3</v>
      </c>
      <c r="I3123" s="1">
        <v>9.9000000000000008E-3</v>
      </c>
      <c r="J3123" s="1">
        <v>0.15079999999999999</v>
      </c>
    </row>
    <row r="3124" spans="1:10" x14ac:dyDescent="0.2">
      <c r="A3124" t="str">
        <f>"19/01/2014"</f>
        <v>19/01/2014</v>
      </c>
      <c r="B3124">
        <v>1</v>
      </c>
      <c r="C3124">
        <v>31000</v>
      </c>
      <c r="D3124">
        <v>102010</v>
      </c>
      <c r="E3124">
        <v>31000</v>
      </c>
      <c r="F3124">
        <v>31000</v>
      </c>
      <c r="G3124" s="1">
        <v>0.01</v>
      </c>
      <c r="H3124" s="1">
        <v>9.9000000000000008E-3</v>
      </c>
      <c r="I3124" s="1">
        <v>9.9000000000000008E-3</v>
      </c>
      <c r="J3124" s="1">
        <v>0.16950000000000001</v>
      </c>
    </row>
    <row r="3125" spans="1:10" x14ac:dyDescent="0.2">
      <c r="A3125" t="str">
        <f>"16/01/2014"</f>
        <v>16/01/2014</v>
      </c>
      <c r="B3125">
        <v>3</v>
      </c>
      <c r="C3125">
        <v>32000</v>
      </c>
      <c r="D3125">
        <v>87694</v>
      </c>
      <c r="E3125">
        <v>32000</v>
      </c>
      <c r="F3125">
        <v>32000</v>
      </c>
      <c r="G3125" s="1">
        <v>0.01</v>
      </c>
      <c r="H3125" s="1">
        <v>9.9000000000000008E-3</v>
      </c>
      <c r="I3125" s="1">
        <v>9.9000000000000008E-3</v>
      </c>
      <c r="J3125" s="1">
        <v>0.20780000000000001</v>
      </c>
    </row>
    <row r="3126" spans="1:10" x14ac:dyDescent="0.2">
      <c r="A3126" t="str">
        <f>"15/01/2014"</f>
        <v>15/01/2014</v>
      </c>
      <c r="B3126">
        <v>1</v>
      </c>
      <c r="C3126">
        <v>37000</v>
      </c>
      <c r="D3126">
        <v>107732</v>
      </c>
      <c r="E3126">
        <v>37000</v>
      </c>
      <c r="F3126">
        <v>37000</v>
      </c>
      <c r="G3126" s="1">
        <v>0.01</v>
      </c>
      <c r="H3126" s="1">
        <v>0.01</v>
      </c>
      <c r="I3126" s="1">
        <v>0.01</v>
      </c>
      <c r="J3126" s="1">
        <v>0.21210000000000001</v>
      </c>
    </row>
    <row r="3127" spans="1:10" x14ac:dyDescent="0.2">
      <c r="A3127" t="str">
        <f>"14/01/2014"</f>
        <v>14/01/2014</v>
      </c>
      <c r="B3127">
        <v>1</v>
      </c>
      <c r="C3127">
        <v>38000</v>
      </c>
      <c r="D3127">
        <v>117188</v>
      </c>
      <c r="E3127">
        <v>38000</v>
      </c>
      <c r="F3127">
        <v>38000</v>
      </c>
      <c r="G3127" s="1">
        <v>0.01</v>
      </c>
      <c r="H3127" s="1">
        <v>0.01</v>
      </c>
      <c r="I3127" s="1">
        <v>0.01</v>
      </c>
      <c r="J3127" s="1">
        <v>0.1938</v>
      </c>
    </row>
    <row r="3128" spans="1:10" x14ac:dyDescent="0.2">
      <c r="A3128" t="str">
        <f>"13/01/2014"</f>
        <v>13/01/2014</v>
      </c>
      <c r="B3128">
        <v>1</v>
      </c>
      <c r="C3128">
        <v>39000</v>
      </c>
      <c r="D3128">
        <v>128270</v>
      </c>
      <c r="E3128">
        <v>39000</v>
      </c>
      <c r="F3128">
        <v>39000</v>
      </c>
      <c r="G3128" s="1">
        <v>0.01</v>
      </c>
      <c r="H3128" s="1">
        <v>0.01</v>
      </c>
      <c r="I3128" s="1">
        <v>0.01</v>
      </c>
      <c r="J3128" s="1">
        <v>0.18529999999999999</v>
      </c>
    </row>
    <row r="3129" spans="1:10" x14ac:dyDescent="0.2">
      <c r="A3129" t="str">
        <f>"12/01/2014"</f>
        <v>12/01/2014</v>
      </c>
      <c r="B3129">
        <v>1</v>
      </c>
      <c r="C3129">
        <v>39000</v>
      </c>
      <c r="D3129">
        <v>121553</v>
      </c>
      <c r="E3129">
        <v>39000</v>
      </c>
      <c r="F3129">
        <v>39000</v>
      </c>
      <c r="G3129" s="1">
        <v>0.01</v>
      </c>
      <c r="H3129" s="1">
        <v>0.01</v>
      </c>
      <c r="I3129" s="1">
        <v>0.01</v>
      </c>
      <c r="J3129" s="1">
        <v>0.2026</v>
      </c>
    </row>
    <row r="3130" spans="1:10" x14ac:dyDescent="0.2">
      <c r="A3130" t="str">
        <f>"09/01/2014"</f>
        <v>09/01/2014</v>
      </c>
      <c r="B3130">
        <v>3</v>
      </c>
      <c r="C3130">
        <v>40000</v>
      </c>
      <c r="D3130">
        <v>131428</v>
      </c>
      <c r="E3130">
        <v>40000</v>
      </c>
      <c r="F3130">
        <v>40000</v>
      </c>
      <c r="G3130" s="1">
        <v>0.01</v>
      </c>
      <c r="H3130" s="1">
        <v>0.01</v>
      </c>
      <c r="I3130" s="1">
        <v>0.01</v>
      </c>
      <c r="J3130" s="1">
        <v>0.18079999999999999</v>
      </c>
    </row>
    <row r="3131" spans="1:10" x14ac:dyDescent="0.2">
      <c r="A3131" t="str">
        <f>"08/01/2014"</f>
        <v>08/01/2014</v>
      </c>
      <c r="B3131">
        <v>1</v>
      </c>
      <c r="C3131">
        <v>40000</v>
      </c>
      <c r="D3131">
        <v>134010</v>
      </c>
      <c r="E3131">
        <v>40000</v>
      </c>
      <c r="F3131">
        <v>40000</v>
      </c>
      <c r="G3131" s="1">
        <v>0.01</v>
      </c>
      <c r="H3131" s="1">
        <v>0.01</v>
      </c>
      <c r="I3131" s="1">
        <v>0.01</v>
      </c>
      <c r="J3131" s="1">
        <v>0.18190000000000001</v>
      </c>
    </row>
    <row r="3132" spans="1:10" x14ac:dyDescent="0.2">
      <c r="A3132" t="str">
        <f>"07/01/2014"</f>
        <v>07/01/2014</v>
      </c>
      <c r="B3132">
        <v>1</v>
      </c>
      <c r="C3132">
        <v>40000</v>
      </c>
      <c r="D3132">
        <v>105279</v>
      </c>
      <c r="E3132">
        <v>40000</v>
      </c>
      <c r="F3132">
        <v>40000</v>
      </c>
      <c r="G3132" s="1">
        <v>0.01</v>
      </c>
      <c r="H3132" s="1">
        <v>9.9000000000000008E-3</v>
      </c>
      <c r="I3132" s="1">
        <v>9.9000000000000008E-3</v>
      </c>
      <c r="J3132" s="1">
        <v>0.2298</v>
      </c>
    </row>
    <row r="3133" spans="1:10" x14ac:dyDescent="0.2">
      <c r="A3133" t="str">
        <f>"06/01/2014"</f>
        <v>06/01/2014</v>
      </c>
      <c r="B3133">
        <v>1</v>
      </c>
      <c r="C3133">
        <v>40000</v>
      </c>
      <c r="D3133">
        <v>106909</v>
      </c>
      <c r="E3133">
        <v>40000</v>
      </c>
      <c r="F3133">
        <v>40000</v>
      </c>
      <c r="G3133" s="1">
        <v>0.01</v>
      </c>
      <c r="H3133" s="1">
        <v>9.9000000000000008E-3</v>
      </c>
      <c r="I3133" s="1">
        <v>9.9000000000000008E-3</v>
      </c>
      <c r="J3133" s="1">
        <v>0.222</v>
      </c>
    </row>
    <row r="3134" spans="1:10" x14ac:dyDescent="0.2">
      <c r="A3134" t="str">
        <f>"05/01/2014"</f>
        <v>05/01/2014</v>
      </c>
      <c r="B3134">
        <v>1</v>
      </c>
      <c r="C3134">
        <v>39000</v>
      </c>
      <c r="D3134">
        <v>101736</v>
      </c>
      <c r="E3134">
        <v>39000</v>
      </c>
      <c r="F3134">
        <v>39000</v>
      </c>
      <c r="G3134" s="1">
        <v>0.01</v>
      </c>
      <c r="H3134" s="1">
        <v>9.9000000000000008E-3</v>
      </c>
      <c r="I3134" s="1">
        <v>9.9000000000000008E-3</v>
      </c>
      <c r="J3134" s="1">
        <v>0.2331</v>
      </c>
    </row>
    <row r="3135" spans="1:10" x14ac:dyDescent="0.2">
      <c r="A3135" t="str">
        <f>"02/01/2014"</f>
        <v>02/01/2014</v>
      </c>
      <c r="B3135">
        <v>3</v>
      </c>
      <c r="C3135">
        <v>39000</v>
      </c>
      <c r="D3135">
        <v>89985</v>
      </c>
      <c r="E3135">
        <v>39000</v>
      </c>
      <c r="F3135">
        <v>39000</v>
      </c>
      <c r="G3135" s="1">
        <v>0.01</v>
      </c>
      <c r="H3135" s="1">
        <v>0.01</v>
      </c>
      <c r="I3135" s="1">
        <v>0.01</v>
      </c>
      <c r="J3135" s="1">
        <v>0.28199999999999997</v>
      </c>
    </row>
    <row r="3136" spans="1:10" x14ac:dyDescent="0.2">
      <c r="A3136" t="str">
        <f>"01/01/2014"</f>
        <v>01/01/2014</v>
      </c>
      <c r="B3136">
        <v>1</v>
      </c>
      <c r="C3136">
        <v>49000</v>
      </c>
      <c r="D3136">
        <v>104571</v>
      </c>
      <c r="E3136">
        <v>49000</v>
      </c>
      <c r="F3136">
        <v>49000</v>
      </c>
      <c r="G3136" s="1">
        <v>0.01</v>
      </c>
      <c r="H3136" s="1">
        <v>0.01</v>
      </c>
      <c r="I3136" s="1">
        <v>0.01</v>
      </c>
      <c r="J3136" s="1">
        <v>0.33489999999999998</v>
      </c>
    </row>
    <row r="3137" spans="1:10" x14ac:dyDescent="0.2">
      <c r="A3137" t="str">
        <f>"31/12/2013"</f>
        <v>31/12/2013</v>
      </c>
      <c r="B3137">
        <v>1</v>
      </c>
      <c r="C3137">
        <v>45000</v>
      </c>
      <c r="D3137">
        <v>82542</v>
      </c>
      <c r="E3137">
        <v>45000</v>
      </c>
      <c r="F3137">
        <v>45000</v>
      </c>
      <c r="G3137" s="1">
        <v>0.01</v>
      </c>
      <c r="H3137" s="1">
        <v>9.9000000000000008E-3</v>
      </c>
      <c r="I3137" s="1">
        <v>9.9000000000000008E-3</v>
      </c>
      <c r="J3137" s="1">
        <v>0.36259999999999998</v>
      </c>
    </row>
    <row r="3138" spans="1:10" x14ac:dyDescent="0.2">
      <c r="A3138" t="str">
        <f>"30/12/2013"</f>
        <v>30/12/2013</v>
      </c>
      <c r="B3138">
        <v>1</v>
      </c>
      <c r="C3138">
        <v>43000</v>
      </c>
      <c r="D3138">
        <v>89334</v>
      </c>
      <c r="E3138">
        <v>43000</v>
      </c>
      <c r="F3138">
        <v>43000</v>
      </c>
      <c r="G3138" s="1">
        <v>0.01</v>
      </c>
      <c r="H3138" s="1">
        <v>0.01</v>
      </c>
      <c r="I3138" s="1">
        <v>0.01</v>
      </c>
      <c r="J3138" s="1">
        <v>0.34920000000000001</v>
      </c>
    </row>
    <row r="3139" spans="1:10" x14ac:dyDescent="0.2">
      <c r="A3139" t="str">
        <f>"29/12/2013"</f>
        <v>29/12/2013</v>
      </c>
      <c r="B3139">
        <v>1</v>
      </c>
      <c r="C3139">
        <v>40000</v>
      </c>
      <c r="D3139">
        <v>71798</v>
      </c>
      <c r="E3139">
        <v>40000</v>
      </c>
      <c r="F3139">
        <v>40000</v>
      </c>
      <c r="G3139" s="1">
        <v>0.01</v>
      </c>
      <c r="H3139" s="1">
        <v>0.01</v>
      </c>
      <c r="I3139" s="1">
        <v>0.01</v>
      </c>
      <c r="J3139" s="1">
        <v>0.4209</v>
      </c>
    </row>
    <row r="3140" spans="1:10" x14ac:dyDescent="0.2">
      <c r="A3140" t="str">
        <f>"26/12/2013"</f>
        <v>26/12/2013</v>
      </c>
      <c r="B3140">
        <v>3</v>
      </c>
      <c r="C3140">
        <v>36000</v>
      </c>
      <c r="D3140">
        <v>48280</v>
      </c>
      <c r="E3140">
        <v>36000</v>
      </c>
      <c r="F3140">
        <v>36000</v>
      </c>
      <c r="G3140" s="1">
        <v>0.01</v>
      </c>
      <c r="H3140" s="1">
        <v>0.01</v>
      </c>
      <c r="I3140" s="1">
        <v>0.01</v>
      </c>
      <c r="J3140" s="1">
        <v>0.63160000000000005</v>
      </c>
    </row>
    <row r="3141" spans="1:10" x14ac:dyDescent="0.2">
      <c r="A3141" t="str">
        <f>"25/12/2013"</f>
        <v>25/12/2013</v>
      </c>
      <c r="B3141">
        <v>1</v>
      </c>
      <c r="C3141">
        <v>26000</v>
      </c>
      <c r="D3141">
        <v>24726</v>
      </c>
      <c r="E3141">
        <v>24726</v>
      </c>
      <c r="F3141">
        <v>24726</v>
      </c>
      <c r="G3141" s="1">
        <v>0.01</v>
      </c>
      <c r="H3141" s="1">
        <v>9.9000000000000008E-3</v>
      </c>
      <c r="I3141" s="1">
        <v>9.9000000000000008E-3</v>
      </c>
      <c r="J3141" s="1">
        <v>1</v>
      </c>
    </row>
    <row r="3142" spans="1:10" x14ac:dyDescent="0.2">
      <c r="A3142" t="str">
        <f>"24/12/2013"</f>
        <v>24/12/2013</v>
      </c>
      <c r="B3142">
        <v>1</v>
      </c>
      <c r="C3142">
        <v>25000</v>
      </c>
      <c r="D3142">
        <v>28573</v>
      </c>
      <c r="E3142">
        <v>25000</v>
      </c>
      <c r="F3142">
        <v>25000</v>
      </c>
      <c r="G3142" s="1">
        <v>0.01</v>
      </c>
      <c r="H3142" s="1">
        <v>9.9000000000000008E-3</v>
      </c>
      <c r="I3142" s="1">
        <v>9.9000000000000008E-3</v>
      </c>
      <c r="J3142" s="1">
        <v>0.70230000000000004</v>
      </c>
    </row>
    <row r="3143" spans="1:10" x14ac:dyDescent="0.2">
      <c r="A3143" t="str">
        <f>"23/12/2013"</f>
        <v>23/12/2013</v>
      </c>
      <c r="B3143">
        <v>1</v>
      </c>
      <c r="C3143">
        <v>25000</v>
      </c>
      <c r="D3143">
        <v>34570</v>
      </c>
      <c r="E3143">
        <v>25000</v>
      </c>
      <c r="F3143">
        <v>25000</v>
      </c>
      <c r="G3143" s="1">
        <v>0.01</v>
      </c>
      <c r="H3143" s="1">
        <v>9.9000000000000008E-3</v>
      </c>
      <c r="I3143" s="1">
        <v>9.9000000000000008E-3</v>
      </c>
      <c r="J3143" s="1">
        <v>0.46829999999999999</v>
      </c>
    </row>
    <row r="3144" spans="1:10" x14ac:dyDescent="0.2">
      <c r="A3144" t="str">
        <f>"22/12/2013"</f>
        <v>22/12/2013</v>
      </c>
      <c r="B3144">
        <v>1</v>
      </c>
      <c r="C3144">
        <v>26000</v>
      </c>
      <c r="D3144">
        <v>41414</v>
      </c>
      <c r="E3144">
        <v>26000</v>
      </c>
      <c r="F3144">
        <v>26000</v>
      </c>
      <c r="G3144" s="1">
        <v>0.01</v>
      </c>
      <c r="H3144" s="1">
        <v>9.9000000000000008E-3</v>
      </c>
      <c r="I3144" s="1">
        <v>9.9000000000000008E-3</v>
      </c>
      <c r="J3144" s="1">
        <v>0.42570000000000002</v>
      </c>
    </row>
    <row r="3145" spans="1:10" x14ac:dyDescent="0.2">
      <c r="A3145" t="str">
        <f>"19/12/2013"</f>
        <v>19/12/2013</v>
      </c>
      <c r="B3145">
        <v>3</v>
      </c>
      <c r="C3145">
        <v>28000</v>
      </c>
      <c r="D3145">
        <v>68595</v>
      </c>
      <c r="E3145">
        <v>28000</v>
      </c>
      <c r="F3145">
        <v>28000</v>
      </c>
      <c r="G3145" s="1">
        <v>0.01</v>
      </c>
      <c r="H3145" s="1">
        <v>9.9000000000000008E-3</v>
      </c>
      <c r="I3145" s="1">
        <v>9.9000000000000008E-3</v>
      </c>
      <c r="J3145" s="1">
        <v>0.25390000000000001</v>
      </c>
    </row>
    <row r="3146" spans="1:10" x14ac:dyDescent="0.2">
      <c r="A3146" t="str">
        <f>"18/12/2013"</f>
        <v>18/12/2013</v>
      </c>
      <c r="B3146">
        <v>1</v>
      </c>
      <c r="C3146">
        <v>29000</v>
      </c>
      <c r="D3146">
        <v>85144</v>
      </c>
      <c r="E3146">
        <v>29000</v>
      </c>
      <c r="F3146">
        <v>29000</v>
      </c>
      <c r="G3146" s="1">
        <v>0.01</v>
      </c>
      <c r="H3146" s="1">
        <v>9.9000000000000008E-3</v>
      </c>
      <c r="I3146" s="1">
        <v>9.9000000000000008E-3</v>
      </c>
      <c r="J3146" s="1">
        <v>0.18090000000000001</v>
      </c>
    </row>
    <row r="3147" spans="1:10" x14ac:dyDescent="0.2">
      <c r="A3147" t="str">
        <f>"17/12/2013"</f>
        <v>17/12/2013</v>
      </c>
      <c r="B3147">
        <v>1</v>
      </c>
      <c r="C3147">
        <v>29000</v>
      </c>
      <c r="D3147">
        <v>81077</v>
      </c>
      <c r="E3147">
        <v>29000</v>
      </c>
      <c r="F3147">
        <v>29000</v>
      </c>
      <c r="G3147" s="1">
        <v>0.01</v>
      </c>
      <c r="H3147" s="1">
        <v>9.9000000000000008E-3</v>
      </c>
      <c r="I3147" s="1">
        <v>9.9000000000000008E-3</v>
      </c>
      <c r="J3147" s="1">
        <v>0.20799999999999999</v>
      </c>
    </row>
    <row r="3148" spans="1:10" x14ac:dyDescent="0.2">
      <c r="A3148" t="str">
        <f>"16/12/2013"</f>
        <v>16/12/2013</v>
      </c>
      <c r="B3148">
        <v>1</v>
      </c>
      <c r="C3148">
        <v>32000</v>
      </c>
      <c r="D3148">
        <v>88288</v>
      </c>
      <c r="E3148">
        <v>32000</v>
      </c>
      <c r="F3148">
        <v>32000</v>
      </c>
      <c r="G3148" s="1">
        <v>0.01</v>
      </c>
      <c r="H3148" s="1">
        <v>0.01</v>
      </c>
      <c r="I3148" s="1">
        <v>0.01</v>
      </c>
      <c r="J3148" s="1">
        <v>0.23319999999999999</v>
      </c>
    </row>
    <row r="3149" spans="1:10" x14ac:dyDescent="0.2">
      <c r="A3149" t="str">
        <f>"15/12/2013"</f>
        <v>15/12/2013</v>
      </c>
      <c r="B3149">
        <v>1</v>
      </c>
      <c r="C3149">
        <v>40000</v>
      </c>
      <c r="D3149">
        <v>106702</v>
      </c>
      <c r="E3149">
        <v>40000</v>
      </c>
      <c r="F3149">
        <v>40000</v>
      </c>
      <c r="G3149" s="1">
        <v>0.01</v>
      </c>
      <c r="H3149" s="1">
        <v>0.01</v>
      </c>
      <c r="I3149" s="1">
        <v>0.01</v>
      </c>
      <c r="J3149" s="1">
        <v>0.2666</v>
      </c>
    </row>
    <row r="3150" spans="1:10" x14ac:dyDescent="0.2">
      <c r="A3150" t="str">
        <f>"12/12/2013"</f>
        <v>12/12/2013</v>
      </c>
      <c r="B3150">
        <v>3</v>
      </c>
      <c r="C3150">
        <v>39000</v>
      </c>
      <c r="D3150">
        <v>109223</v>
      </c>
      <c r="E3150">
        <v>39000</v>
      </c>
      <c r="F3150">
        <v>39000</v>
      </c>
      <c r="G3150" s="1">
        <v>0.01</v>
      </c>
      <c r="H3150" s="1">
        <v>0.01</v>
      </c>
      <c r="I3150" s="1">
        <v>0.01</v>
      </c>
      <c r="J3150" s="1">
        <v>0.24440000000000001</v>
      </c>
    </row>
    <row r="3151" spans="1:10" x14ac:dyDescent="0.2">
      <c r="A3151" t="str">
        <f>"11/12/2013"</f>
        <v>11/12/2013</v>
      </c>
      <c r="B3151">
        <v>1</v>
      </c>
      <c r="C3151">
        <v>37000</v>
      </c>
      <c r="D3151">
        <v>110897</v>
      </c>
      <c r="E3151">
        <v>37000</v>
      </c>
      <c r="F3151">
        <v>37000</v>
      </c>
      <c r="G3151" s="1">
        <v>0.01</v>
      </c>
      <c r="H3151" s="1">
        <v>0.01</v>
      </c>
      <c r="I3151" s="1">
        <v>0.01</v>
      </c>
      <c r="J3151" s="1">
        <v>0.2233</v>
      </c>
    </row>
    <row r="3152" spans="1:10" x14ac:dyDescent="0.2">
      <c r="A3152" t="str">
        <f>"10/12/2013"</f>
        <v>10/12/2013</v>
      </c>
      <c r="B3152">
        <v>1</v>
      </c>
      <c r="C3152">
        <v>36000</v>
      </c>
      <c r="D3152">
        <v>104322</v>
      </c>
      <c r="E3152">
        <v>36000</v>
      </c>
      <c r="F3152">
        <v>36000</v>
      </c>
      <c r="G3152" s="1">
        <v>0.01</v>
      </c>
      <c r="H3152" s="1">
        <v>0.01</v>
      </c>
      <c r="I3152" s="1">
        <v>0.01</v>
      </c>
      <c r="J3152" s="1">
        <v>0.24229999999999999</v>
      </c>
    </row>
    <row r="3153" spans="1:10" x14ac:dyDescent="0.2">
      <c r="A3153" t="str">
        <f>"09/12/2013"</f>
        <v>09/12/2013</v>
      </c>
      <c r="B3153">
        <v>1</v>
      </c>
      <c r="C3153">
        <v>36000</v>
      </c>
      <c r="D3153">
        <v>97202</v>
      </c>
      <c r="E3153">
        <v>36000</v>
      </c>
      <c r="F3153">
        <v>36000</v>
      </c>
      <c r="G3153" s="1">
        <v>0.01</v>
      </c>
      <c r="H3153" s="1">
        <v>0.01</v>
      </c>
      <c r="I3153" s="1">
        <v>0.01</v>
      </c>
      <c r="J3153" s="1">
        <v>0.2611</v>
      </c>
    </row>
    <row r="3154" spans="1:10" x14ac:dyDescent="0.2">
      <c r="A3154" t="str">
        <f>"08/12/2013"</f>
        <v>08/12/2013</v>
      </c>
      <c r="B3154">
        <v>1</v>
      </c>
      <c r="C3154">
        <v>36000</v>
      </c>
      <c r="D3154">
        <v>97345</v>
      </c>
      <c r="E3154">
        <v>36000</v>
      </c>
      <c r="F3154">
        <v>36000</v>
      </c>
      <c r="G3154" s="1">
        <v>0.01</v>
      </c>
      <c r="H3154" s="1">
        <v>0.01</v>
      </c>
      <c r="I3154" s="1">
        <v>0.01</v>
      </c>
      <c r="J3154" s="1">
        <v>0.2651</v>
      </c>
    </row>
    <row r="3155" spans="1:10" x14ac:dyDescent="0.2">
      <c r="A3155" t="str">
        <f>"05/12/2013"</f>
        <v>05/12/2013</v>
      </c>
      <c r="B3155">
        <v>3</v>
      </c>
      <c r="C3155">
        <v>36000</v>
      </c>
      <c r="D3155">
        <v>92592</v>
      </c>
      <c r="E3155">
        <v>36000</v>
      </c>
      <c r="F3155">
        <v>36000</v>
      </c>
      <c r="G3155" s="1">
        <v>0.01</v>
      </c>
      <c r="H3155" s="1">
        <v>0.01</v>
      </c>
      <c r="I3155" s="1">
        <v>0.01</v>
      </c>
      <c r="J3155" s="1">
        <v>0.26090000000000002</v>
      </c>
    </row>
    <row r="3156" spans="1:10" x14ac:dyDescent="0.2">
      <c r="A3156" t="str">
        <f>"04/12/2013"</f>
        <v>04/12/2013</v>
      </c>
      <c r="B3156">
        <v>1</v>
      </c>
      <c r="C3156">
        <v>34000</v>
      </c>
      <c r="D3156">
        <v>80457</v>
      </c>
      <c r="E3156">
        <v>34000</v>
      </c>
      <c r="F3156">
        <v>34000</v>
      </c>
      <c r="G3156" s="1">
        <v>0.01</v>
      </c>
      <c r="H3156" s="1">
        <v>0.01</v>
      </c>
      <c r="I3156" s="1">
        <v>0.01</v>
      </c>
      <c r="J3156" s="1">
        <v>0.28789999999999999</v>
      </c>
    </row>
    <row r="3157" spans="1:10" x14ac:dyDescent="0.2">
      <c r="A3157" t="str">
        <f>"03/12/2013"</f>
        <v>03/12/2013</v>
      </c>
      <c r="B3157">
        <v>1</v>
      </c>
      <c r="C3157">
        <v>33000</v>
      </c>
      <c r="D3157">
        <v>77075</v>
      </c>
      <c r="E3157">
        <v>33000</v>
      </c>
      <c r="F3157">
        <v>33000</v>
      </c>
      <c r="G3157" s="1">
        <v>0.01</v>
      </c>
      <c r="H3157" s="1">
        <v>0.01</v>
      </c>
      <c r="I3157" s="1">
        <v>0.01</v>
      </c>
      <c r="J3157" s="1">
        <v>0.28499999999999998</v>
      </c>
    </row>
    <row r="3158" spans="1:10" x14ac:dyDescent="0.2">
      <c r="A3158" t="str">
        <f>"02/12/2013"</f>
        <v>02/12/2013</v>
      </c>
      <c r="B3158">
        <v>1</v>
      </c>
      <c r="C3158">
        <v>33000</v>
      </c>
      <c r="D3158">
        <v>66196</v>
      </c>
      <c r="E3158">
        <v>33000</v>
      </c>
      <c r="F3158">
        <v>33000</v>
      </c>
      <c r="G3158" s="1">
        <v>0.01</v>
      </c>
      <c r="H3158" s="1">
        <v>0.01</v>
      </c>
      <c r="I3158" s="1">
        <v>0.01</v>
      </c>
      <c r="J3158" s="1">
        <v>0.34610000000000002</v>
      </c>
    </row>
    <row r="3159" spans="1:10" x14ac:dyDescent="0.2">
      <c r="A3159" t="str">
        <f>"01/12/2013"</f>
        <v>01/12/2013</v>
      </c>
      <c r="B3159">
        <v>1</v>
      </c>
      <c r="C3159">
        <v>31000</v>
      </c>
      <c r="D3159">
        <v>50909</v>
      </c>
      <c r="E3159">
        <v>31000</v>
      </c>
      <c r="F3159">
        <v>31000</v>
      </c>
      <c r="G3159" s="1">
        <v>0.01</v>
      </c>
      <c r="H3159" s="1">
        <v>9.9000000000000008E-3</v>
      </c>
      <c r="I3159" s="1">
        <v>9.9000000000000008E-3</v>
      </c>
      <c r="J3159" s="1">
        <v>0.40589999999999998</v>
      </c>
    </row>
    <row r="3160" spans="1:10" x14ac:dyDescent="0.2">
      <c r="A3160" t="str">
        <f>"28/11/2013"</f>
        <v>28/11/2013</v>
      </c>
      <c r="B3160">
        <v>3</v>
      </c>
      <c r="C3160">
        <v>26000</v>
      </c>
      <c r="D3160">
        <v>36732</v>
      </c>
      <c r="E3160">
        <v>26000</v>
      </c>
      <c r="F3160">
        <v>26000</v>
      </c>
      <c r="G3160" s="1">
        <v>0.01</v>
      </c>
      <c r="H3160" s="1">
        <v>0.01</v>
      </c>
      <c r="I3160" s="1">
        <v>0.01</v>
      </c>
      <c r="J3160" s="1">
        <v>0.59960000000000002</v>
      </c>
    </row>
    <row r="3161" spans="1:10" x14ac:dyDescent="0.2">
      <c r="A3161" t="str">
        <f>"27/11/2013"</f>
        <v>27/11/2013</v>
      </c>
      <c r="B3161">
        <v>1</v>
      </c>
      <c r="C3161">
        <v>24000</v>
      </c>
      <c r="D3161">
        <v>21796</v>
      </c>
      <c r="E3161">
        <v>21796</v>
      </c>
      <c r="F3161">
        <v>21796</v>
      </c>
      <c r="G3161" s="1">
        <v>0.01</v>
      </c>
      <c r="H3161" s="1">
        <v>9.9000000000000008E-3</v>
      </c>
      <c r="I3161" s="1">
        <v>9.9000000000000008E-3</v>
      </c>
      <c r="J3161" s="1">
        <v>1</v>
      </c>
    </row>
    <row r="3162" spans="1:10" x14ac:dyDescent="0.2">
      <c r="A3162" t="str">
        <f>"26/11/2013"</f>
        <v>26/11/2013</v>
      </c>
      <c r="B3162">
        <v>1</v>
      </c>
      <c r="C3162">
        <v>24000</v>
      </c>
      <c r="D3162">
        <v>29511</v>
      </c>
      <c r="E3162">
        <v>24000</v>
      </c>
      <c r="F3162">
        <v>24000</v>
      </c>
      <c r="G3162" s="1">
        <v>0.01</v>
      </c>
      <c r="H3162" s="1">
        <v>9.9000000000000008E-3</v>
      </c>
      <c r="I3162" s="1">
        <v>9.9000000000000008E-3</v>
      </c>
      <c r="J3162" s="1">
        <v>0.57609999999999995</v>
      </c>
    </row>
    <row r="3163" spans="1:10" x14ac:dyDescent="0.2">
      <c r="A3163" t="str">
        <f>"25/11/2013"</f>
        <v>25/11/2013</v>
      </c>
      <c r="B3163">
        <v>1</v>
      </c>
      <c r="C3163">
        <v>25000</v>
      </c>
      <c r="D3163">
        <v>45015</v>
      </c>
      <c r="E3163">
        <v>25000</v>
      </c>
      <c r="F3163">
        <v>25000</v>
      </c>
      <c r="G3163" s="1">
        <v>0.01</v>
      </c>
      <c r="H3163" s="1">
        <v>9.9000000000000008E-3</v>
      </c>
      <c r="I3163" s="1">
        <v>9.9000000000000008E-3</v>
      </c>
      <c r="J3163" s="1">
        <v>0.25040000000000001</v>
      </c>
    </row>
    <row r="3164" spans="1:10" x14ac:dyDescent="0.2">
      <c r="A3164" t="str">
        <f>"24/11/2013"</f>
        <v>24/11/2013</v>
      </c>
      <c r="B3164">
        <v>1</v>
      </c>
      <c r="C3164">
        <v>25000</v>
      </c>
      <c r="D3164">
        <v>46123</v>
      </c>
      <c r="E3164">
        <v>25000</v>
      </c>
      <c r="F3164">
        <v>25000</v>
      </c>
      <c r="G3164" s="1">
        <v>0.01</v>
      </c>
      <c r="H3164" s="1">
        <v>9.9000000000000008E-3</v>
      </c>
      <c r="I3164" s="1">
        <v>9.9000000000000008E-3</v>
      </c>
      <c r="J3164" s="1">
        <v>0.247</v>
      </c>
    </row>
    <row r="3165" spans="1:10" x14ac:dyDescent="0.2">
      <c r="A3165" t="str">
        <f>"21/11/2013"</f>
        <v>21/11/2013</v>
      </c>
      <c r="B3165">
        <v>3</v>
      </c>
      <c r="C3165">
        <v>29000</v>
      </c>
      <c r="D3165">
        <v>65185</v>
      </c>
      <c r="E3165">
        <v>29000</v>
      </c>
      <c r="F3165">
        <v>29000</v>
      </c>
      <c r="G3165" s="1">
        <v>0.01</v>
      </c>
      <c r="H3165" s="1">
        <v>9.9000000000000008E-3</v>
      </c>
      <c r="I3165" s="1">
        <v>9.9000000000000008E-3</v>
      </c>
      <c r="J3165" s="1">
        <v>0.2235</v>
      </c>
    </row>
    <row r="3166" spans="1:10" x14ac:dyDescent="0.2">
      <c r="A3166" t="str">
        <f>"20/11/2013"</f>
        <v>20/11/2013</v>
      </c>
      <c r="B3166">
        <v>1</v>
      </c>
      <c r="C3166">
        <v>24000</v>
      </c>
      <c r="D3166">
        <v>58676</v>
      </c>
      <c r="E3166">
        <v>24000</v>
      </c>
      <c r="F3166">
        <v>24000</v>
      </c>
      <c r="G3166" s="1">
        <v>0.01</v>
      </c>
      <c r="H3166" s="1">
        <v>9.9000000000000008E-3</v>
      </c>
      <c r="I3166" s="1">
        <v>9.9000000000000008E-3</v>
      </c>
      <c r="J3166" s="1">
        <v>0.18509999999999999</v>
      </c>
    </row>
    <row r="3167" spans="1:10" x14ac:dyDescent="0.2">
      <c r="A3167" t="str">
        <f>"19/11/2013"</f>
        <v>19/11/2013</v>
      </c>
      <c r="B3167">
        <v>1</v>
      </c>
      <c r="C3167">
        <v>25000</v>
      </c>
      <c r="D3167">
        <v>62992</v>
      </c>
      <c r="E3167">
        <v>25000</v>
      </c>
      <c r="F3167">
        <v>25000</v>
      </c>
      <c r="G3167" s="1">
        <v>0.01</v>
      </c>
      <c r="H3167" s="1">
        <v>9.9000000000000008E-3</v>
      </c>
      <c r="I3167" s="1">
        <v>9.9000000000000008E-3</v>
      </c>
      <c r="J3167" s="1">
        <v>0.1968</v>
      </c>
    </row>
    <row r="3168" spans="1:10" x14ac:dyDescent="0.2">
      <c r="A3168" t="str">
        <f>"18/11/2013"</f>
        <v>18/11/2013</v>
      </c>
      <c r="B3168">
        <v>1</v>
      </c>
      <c r="C3168">
        <v>26000</v>
      </c>
      <c r="D3168">
        <v>65875</v>
      </c>
      <c r="E3168">
        <v>26000</v>
      </c>
      <c r="F3168">
        <v>26000</v>
      </c>
      <c r="G3168" s="1">
        <v>0.01</v>
      </c>
      <c r="H3168" s="1">
        <v>9.9000000000000008E-3</v>
      </c>
      <c r="I3168" s="1">
        <v>9.9000000000000008E-3</v>
      </c>
      <c r="J3168" s="1">
        <v>0.1787</v>
      </c>
    </row>
    <row r="3169" spans="1:10" x14ac:dyDescent="0.2">
      <c r="A3169" t="str">
        <f>"17/11/2013"</f>
        <v>17/11/2013</v>
      </c>
      <c r="B3169">
        <v>1</v>
      </c>
      <c r="C3169">
        <v>27000</v>
      </c>
      <c r="D3169">
        <v>92980</v>
      </c>
      <c r="E3169">
        <v>27000</v>
      </c>
      <c r="F3169">
        <v>27000</v>
      </c>
      <c r="G3169" s="1">
        <v>0.01</v>
      </c>
      <c r="H3169" s="1">
        <v>9.9000000000000008E-3</v>
      </c>
      <c r="I3169" s="1">
        <v>9.9000000000000008E-3</v>
      </c>
      <c r="J3169" s="1">
        <v>0.16109999999999999</v>
      </c>
    </row>
    <row r="3170" spans="1:10" x14ac:dyDescent="0.2">
      <c r="A3170" t="str">
        <f>"14/11/2013"</f>
        <v>14/11/2013</v>
      </c>
      <c r="B3170">
        <v>3</v>
      </c>
      <c r="C3170">
        <v>40000</v>
      </c>
      <c r="D3170">
        <v>119299</v>
      </c>
      <c r="E3170">
        <v>40000</v>
      </c>
      <c r="F3170">
        <v>40000</v>
      </c>
      <c r="G3170" s="1">
        <v>0.01</v>
      </c>
      <c r="H3170" s="1">
        <v>9.9000000000000008E-3</v>
      </c>
      <c r="I3170" s="1">
        <v>9.9000000000000008E-3</v>
      </c>
      <c r="J3170" s="1">
        <v>0.17399999999999999</v>
      </c>
    </row>
    <row r="3171" spans="1:10" x14ac:dyDescent="0.2">
      <c r="A3171" t="str">
        <f>"13/11/2013"</f>
        <v>13/11/2013</v>
      </c>
      <c r="B3171">
        <v>1</v>
      </c>
      <c r="C3171">
        <v>41000</v>
      </c>
      <c r="D3171">
        <v>119468</v>
      </c>
      <c r="E3171">
        <v>41000</v>
      </c>
      <c r="F3171">
        <v>41000</v>
      </c>
      <c r="G3171" s="1">
        <v>0.01</v>
      </c>
      <c r="H3171" s="1">
        <v>9.9000000000000008E-3</v>
      </c>
      <c r="I3171" s="1">
        <v>9.9000000000000008E-3</v>
      </c>
      <c r="J3171" s="1">
        <v>0.18260000000000001</v>
      </c>
    </row>
    <row r="3172" spans="1:10" x14ac:dyDescent="0.2">
      <c r="A3172" t="str">
        <f>"12/11/2013"</f>
        <v>12/11/2013</v>
      </c>
      <c r="B3172">
        <v>1</v>
      </c>
      <c r="C3172">
        <v>39000</v>
      </c>
      <c r="D3172">
        <v>118434</v>
      </c>
      <c r="E3172">
        <v>39000</v>
      </c>
      <c r="F3172">
        <v>39000</v>
      </c>
      <c r="G3172" s="1">
        <v>0.01</v>
      </c>
      <c r="H3172" s="1">
        <v>9.9000000000000008E-3</v>
      </c>
      <c r="I3172" s="1">
        <v>9.9000000000000008E-3</v>
      </c>
      <c r="J3172" s="1">
        <v>0.1691</v>
      </c>
    </row>
    <row r="3173" spans="1:10" x14ac:dyDescent="0.2">
      <c r="A3173" t="str">
        <f>"11/11/2013"</f>
        <v>11/11/2013</v>
      </c>
      <c r="B3173">
        <v>1</v>
      </c>
      <c r="C3173">
        <v>39000</v>
      </c>
      <c r="D3173">
        <v>109797</v>
      </c>
      <c r="E3173">
        <v>39000</v>
      </c>
      <c r="F3173">
        <v>39000</v>
      </c>
      <c r="G3173" s="1">
        <v>0.01</v>
      </c>
      <c r="H3173" s="1">
        <v>9.9000000000000008E-3</v>
      </c>
      <c r="I3173" s="1">
        <v>9.9000000000000008E-3</v>
      </c>
      <c r="J3173" s="1">
        <v>0.15920000000000001</v>
      </c>
    </row>
    <row r="3174" spans="1:10" x14ac:dyDescent="0.2">
      <c r="A3174" t="str">
        <f>"10/11/2013"</f>
        <v>10/11/2013</v>
      </c>
      <c r="B3174">
        <v>1</v>
      </c>
      <c r="C3174">
        <v>36000</v>
      </c>
      <c r="D3174">
        <v>101970</v>
      </c>
      <c r="E3174">
        <v>36000</v>
      </c>
      <c r="F3174">
        <v>36000</v>
      </c>
      <c r="G3174" s="1">
        <v>0.01</v>
      </c>
      <c r="H3174" s="1">
        <v>9.9000000000000008E-3</v>
      </c>
      <c r="I3174" s="1">
        <v>9.9000000000000008E-3</v>
      </c>
      <c r="J3174" s="1">
        <v>0.1459</v>
      </c>
    </row>
    <row r="3175" spans="1:10" x14ac:dyDescent="0.2">
      <c r="A3175" t="str">
        <f>"07/11/2013"</f>
        <v>07/11/2013</v>
      </c>
      <c r="B3175">
        <v>3</v>
      </c>
      <c r="C3175">
        <v>34000</v>
      </c>
      <c r="D3175">
        <v>99588</v>
      </c>
      <c r="E3175">
        <v>34000</v>
      </c>
      <c r="F3175">
        <v>34000</v>
      </c>
      <c r="G3175" s="1">
        <v>0.01</v>
      </c>
      <c r="H3175" s="1">
        <v>9.9000000000000008E-3</v>
      </c>
      <c r="I3175" s="1">
        <v>9.9000000000000008E-3</v>
      </c>
      <c r="J3175" s="1">
        <v>0.1923</v>
      </c>
    </row>
    <row r="3176" spans="1:10" x14ac:dyDescent="0.2">
      <c r="A3176" t="str">
        <f>"06/11/2013"</f>
        <v>06/11/2013</v>
      </c>
      <c r="B3176">
        <v>1</v>
      </c>
      <c r="C3176">
        <v>34000</v>
      </c>
      <c r="D3176">
        <v>67946</v>
      </c>
      <c r="E3176">
        <v>34000</v>
      </c>
      <c r="F3176">
        <v>34000</v>
      </c>
      <c r="G3176" s="1">
        <v>0.01</v>
      </c>
      <c r="H3176" s="1">
        <v>9.9000000000000008E-3</v>
      </c>
      <c r="I3176" s="1">
        <v>9.9000000000000008E-3</v>
      </c>
      <c r="J3176" s="1">
        <v>0.28160000000000002</v>
      </c>
    </row>
    <row r="3177" spans="1:10" x14ac:dyDescent="0.2">
      <c r="A3177" t="str">
        <f>"05/11/2013"</f>
        <v>05/11/2013</v>
      </c>
      <c r="B3177">
        <v>1</v>
      </c>
      <c r="C3177">
        <v>34000</v>
      </c>
      <c r="D3177">
        <v>71452</v>
      </c>
      <c r="E3177">
        <v>34000</v>
      </c>
      <c r="F3177">
        <v>34000</v>
      </c>
      <c r="G3177" s="1">
        <v>0.01</v>
      </c>
      <c r="H3177" s="1">
        <v>9.9000000000000008E-3</v>
      </c>
      <c r="I3177" s="1">
        <v>9.9000000000000008E-3</v>
      </c>
      <c r="J3177" s="1">
        <v>0.3</v>
      </c>
    </row>
    <row r="3178" spans="1:10" x14ac:dyDescent="0.2">
      <c r="A3178" t="str">
        <f>"04/11/2013"</f>
        <v>04/11/2013</v>
      </c>
      <c r="B3178">
        <v>1</v>
      </c>
      <c r="C3178">
        <v>35000</v>
      </c>
      <c r="D3178">
        <v>62843</v>
      </c>
      <c r="E3178">
        <v>35000</v>
      </c>
      <c r="F3178">
        <v>35000</v>
      </c>
      <c r="G3178" s="1">
        <v>0.01</v>
      </c>
      <c r="H3178" s="1">
        <v>0.01</v>
      </c>
      <c r="I3178" s="1">
        <v>0.01</v>
      </c>
      <c r="J3178" s="1">
        <v>0.39789999999999998</v>
      </c>
    </row>
    <row r="3179" spans="1:10" x14ac:dyDescent="0.2">
      <c r="A3179" t="str">
        <f>"03/11/2013"</f>
        <v>03/11/2013</v>
      </c>
      <c r="B3179">
        <v>1</v>
      </c>
      <c r="C3179">
        <v>35000</v>
      </c>
      <c r="D3179">
        <v>55635</v>
      </c>
      <c r="E3179">
        <v>35000</v>
      </c>
      <c r="F3179">
        <v>35000</v>
      </c>
      <c r="G3179" s="1">
        <v>0.01</v>
      </c>
      <c r="H3179" s="1">
        <v>9.9000000000000008E-3</v>
      </c>
      <c r="I3179" s="1">
        <v>9.9000000000000008E-3</v>
      </c>
      <c r="J3179" s="1">
        <v>0.45090000000000002</v>
      </c>
    </row>
    <row r="3180" spans="1:10" x14ac:dyDescent="0.2">
      <c r="A3180" t="str">
        <f>"31/10/2013"</f>
        <v>31/10/2013</v>
      </c>
      <c r="B3180">
        <v>3</v>
      </c>
      <c r="C3180">
        <v>34000</v>
      </c>
      <c r="D3180">
        <v>43807</v>
      </c>
      <c r="E3180">
        <v>34000</v>
      </c>
      <c r="F3180">
        <v>34000</v>
      </c>
      <c r="G3180" s="1">
        <v>0.01</v>
      </c>
      <c r="H3180" s="1">
        <v>0.01</v>
      </c>
      <c r="I3180" s="1">
        <v>0.01</v>
      </c>
      <c r="J3180" s="1">
        <v>0.70330000000000004</v>
      </c>
    </row>
    <row r="3181" spans="1:10" x14ac:dyDescent="0.2">
      <c r="A3181" t="str">
        <f>"30/10/2013"</f>
        <v>30/10/2013</v>
      </c>
      <c r="B3181">
        <v>1</v>
      </c>
      <c r="C3181">
        <v>28000</v>
      </c>
      <c r="D3181">
        <v>25714</v>
      </c>
      <c r="E3181">
        <v>25714</v>
      </c>
      <c r="F3181">
        <v>25714</v>
      </c>
      <c r="G3181" s="1">
        <v>0.01</v>
      </c>
      <c r="H3181" s="1">
        <v>9.9000000000000008E-3</v>
      </c>
      <c r="I3181" s="1">
        <v>9.9000000000000008E-3</v>
      </c>
      <c r="J3181" s="1">
        <v>1</v>
      </c>
    </row>
    <row r="3182" spans="1:10" x14ac:dyDescent="0.2">
      <c r="A3182" t="str">
        <f>"29/10/2013"</f>
        <v>29/10/2013</v>
      </c>
      <c r="B3182">
        <v>1</v>
      </c>
      <c r="C3182">
        <v>27000</v>
      </c>
      <c r="D3182">
        <v>50199</v>
      </c>
      <c r="E3182">
        <v>27000</v>
      </c>
      <c r="F3182">
        <v>27000</v>
      </c>
      <c r="G3182" s="1">
        <v>0.01</v>
      </c>
      <c r="H3182" s="1">
        <v>9.9000000000000008E-3</v>
      </c>
      <c r="I3182" s="1">
        <v>9.9000000000000008E-3</v>
      </c>
      <c r="J3182" s="1">
        <v>0.373</v>
      </c>
    </row>
    <row r="3183" spans="1:10" x14ac:dyDescent="0.2">
      <c r="A3183" t="str">
        <f>"28/10/2013"</f>
        <v>28/10/2013</v>
      </c>
      <c r="B3183">
        <v>1</v>
      </c>
      <c r="C3183">
        <v>27000</v>
      </c>
      <c r="D3183">
        <v>57762</v>
      </c>
      <c r="E3183">
        <v>27000</v>
      </c>
      <c r="F3183">
        <v>27000</v>
      </c>
      <c r="G3183" s="1">
        <v>0.01</v>
      </c>
      <c r="H3183" s="1">
        <v>9.9000000000000008E-3</v>
      </c>
      <c r="I3183" s="1">
        <v>9.9000000000000008E-3</v>
      </c>
      <c r="J3183" s="1">
        <v>0.2676</v>
      </c>
    </row>
    <row r="3184" spans="1:10" x14ac:dyDescent="0.2">
      <c r="A3184" t="str">
        <f>"27/10/2013"</f>
        <v>27/10/2013</v>
      </c>
      <c r="B3184">
        <v>1</v>
      </c>
      <c r="C3184">
        <v>24000</v>
      </c>
      <c r="D3184">
        <v>48879</v>
      </c>
      <c r="E3184">
        <v>24000</v>
      </c>
      <c r="F3184">
        <v>24000</v>
      </c>
      <c r="G3184" s="1">
        <v>0.01</v>
      </c>
      <c r="H3184" s="1">
        <v>9.9000000000000008E-3</v>
      </c>
      <c r="I3184" s="1">
        <v>9.9000000000000008E-3</v>
      </c>
      <c r="J3184" s="1">
        <v>0.24879999999999999</v>
      </c>
    </row>
    <row r="3185" spans="1:10" x14ac:dyDescent="0.2">
      <c r="A3185" t="str">
        <f>"24/10/2013"</f>
        <v>24/10/2013</v>
      </c>
      <c r="B3185">
        <v>3</v>
      </c>
      <c r="C3185">
        <v>25000</v>
      </c>
      <c r="D3185">
        <v>45695</v>
      </c>
      <c r="E3185">
        <v>25000</v>
      </c>
      <c r="F3185">
        <v>25000</v>
      </c>
      <c r="G3185" s="1">
        <v>0.01</v>
      </c>
      <c r="H3185" s="1">
        <v>9.9000000000000008E-3</v>
      </c>
      <c r="I3185" s="1">
        <v>9.9000000000000008E-3</v>
      </c>
      <c r="J3185" s="1">
        <v>0.36770000000000003</v>
      </c>
    </row>
    <row r="3186" spans="1:10" x14ac:dyDescent="0.2">
      <c r="A3186" t="str">
        <f>"23/10/2013"</f>
        <v>23/10/2013</v>
      </c>
      <c r="B3186">
        <v>1</v>
      </c>
      <c r="C3186">
        <v>25000</v>
      </c>
      <c r="D3186">
        <v>59517</v>
      </c>
      <c r="E3186">
        <v>25000</v>
      </c>
      <c r="F3186">
        <v>25000</v>
      </c>
      <c r="G3186" s="1">
        <v>0.01</v>
      </c>
      <c r="H3186" s="1">
        <v>9.9000000000000008E-3</v>
      </c>
      <c r="I3186" s="1">
        <v>9.9000000000000008E-3</v>
      </c>
      <c r="J3186" s="1">
        <v>0.26250000000000001</v>
      </c>
    </row>
    <row r="3187" spans="1:10" x14ac:dyDescent="0.2">
      <c r="A3187" t="str">
        <f>"22/10/2013"</f>
        <v>22/10/2013</v>
      </c>
      <c r="B3187">
        <v>1</v>
      </c>
      <c r="C3187">
        <v>25000</v>
      </c>
      <c r="D3187">
        <v>58794</v>
      </c>
      <c r="E3187">
        <v>25000</v>
      </c>
      <c r="F3187">
        <v>25000</v>
      </c>
      <c r="G3187" s="1">
        <v>0.01</v>
      </c>
      <c r="H3187" s="1">
        <v>9.9000000000000008E-3</v>
      </c>
      <c r="I3187" s="1">
        <v>9.9000000000000008E-3</v>
      </c>
      <c r="J3187" s="1">
        <v>0.25779999999999997</v>
      </c>
    </row>
    <row r="3188" spans="1:10" x14ac:dyDescent="0.2">
      <c r="A3188" t="str">
        <f>"21/10/2013"</f>
        <v>21/10/2013</v>
      </c>
      <c r="B3188">
        <v>1</v>
      </c>
      <c r="C3188">
        <v>27000</v>
      </c>
      <c r="D3188">
        <v>61605</v>
      </c>
      <c r="E3188">
        <v>27000</v>
      </c>
      <c r="F3188">
        <v>27000</v>
      </c>
      <c r="G3188" s="1">
        <v>0.01</v>
      </c>
      <c r="H3188" s="1">
        <v>0.01</v>
      </c>
      <c r="I3188" s="1">
        <v>0.01</v>
      </c>
      <c r="J3188" s="1">
        <v>0.28499999999999998</v>
      </c>
    </row>
    <row r="3189" spans="1:10" x14ac:dyDescent="0.2">
      <c r="A3189" t="str">
        <f>"20/10/2013"</f>
        <v>20/10/2013</v>
      </c>
      <c r="B3189">
        <v>1</v>
      </c>
      <c r="C3189">
        <v>28000</v>
      </c>
      <c r="D3189">
        <v>64485</v>
      </c>
      <c r="E3189">
        <v>28000</v>
      </c>
      <c r="F3189">
        <v>28000</v>
      </c>
      <c r="G3189" s="1">
        <v>0.01</v>
      </c>
      <c r="H3189" s="1">
        <v>9.9000000000000008E-3</v>
      </c>
      <c r="I3189" s="1">
        <v>9.9000000000000008E-3</v>
      </c>
      <c r="J3189" s="1">
        <v>0.26069999999999999</v>
      </c>
    </row>
    <row r="3190" spans="1:10" x14ac:dyDescent="0.2">
      <c r="A3190" t="str">
        <f>"17/10/2013"</f>
        <v>17/10/2013</v>
      </c>
      <c r="B3190">
        <v>3</v>
      </c>
      <c r="C3190">
        <v>29000</v>
      </c>
      <c r="D3190">
        <v>79090</v>
      </c>
      <c r="E3190">
        <v>29000</v>
      </c>
      <c r="F3190">
        <v>29000</v>
      </c>
      <c r="G3190" s="1">
        <v>0.01</v>
      </c>
      <c r="H3190" s="1">
        <v>9.9000000000000008E-3</v>
      </c>
      <c r="I3190" s="1">
        <v>9.9000000000000008E-3</v>
      </c>
      <c r="J3190" s="1">
        <v>0.2114</v>
      </c>
    </row>
    <row r="3191" spans="1:10" x14ac:dyDescent="0.2">
      <c r="A3191" t="str">
        <f>"16/10/2013"</f>
        <v>16/10/2013</v>
      </c>
      <c r="B3191">
        <v>1</v>
      </c>
      <c r="C3191">
        <v>24000</v>
      </c>
      <c r="D3191">
        <v>62330</v>
      </c>
      <c r="E3191">
        <v>24000</v>
      </c>
      <c r="F3191">
        <v>24000</v>
      </c>
      <c r="G3191" s="1">
        <v>0.01</v>
      </c>
      <c r="H3191" s="1">
        <v>9.9000000000000008E-3</v>
      </c>
      <c r="I3191" s="1">
        <v>9.9000000000000008E-3</v>
      </c>
      <c r="J3191" s="1">
        <v>0.20150000000000001</v>
      </c>
    </row>
    <row r="3192" spans="1:10" x14ac:dyDescent="0.2">
      <c r="A3192" t="str">
        <f>"15/10/2013"</f>
        <v>15/10/2013</v>
      </c>
      <c r="B3192">
        <v>1</v>
      </c>
      <c r="C3192">
        <v>35000</v>
      </c>
      <c r="D3192">
        <v>93668</v>
      </c>
      <c r="E3192">
        <v>35000</v>
      </c>
      <c r="F3192">
        <v>35000</v>
      </c>
      <c r="G3192" s="1">
        <v>0.01</v>
      </c>
      <c r="H3192" s="1">
        <v>0.01</v>
      </c>
      <c r="I3192" s="1">
        <v>0.01</v>
      </c>
      <c r="J3192" s="1">
        <v>0.24160000000000001</v>
      </c>
    </row>
    <row r="3193" spans="1:10" x14ac:dyDescent="0.2">
      <c r="A3193" t="str">
        <f>"14/10/2013"</f>
        <v>14/10/2013</v>
      </c>
      <c r="B3193">
        <v>1</v>
      </c>
      <c r="C3193">
        <v>36000</v>
      </c>
      <c r="D3193">
        <v>95925</v>
      </c>
      <c r="E3193">
        <v>36000</v>
      </c>
      <c r="F3193">
        <v>36000</v>
      </c>
      <c r="G3193" s="1">
        <v>0.01</v>
      </c>
      <c r="H3193" s="1">
        <v>0.01</v>
      </c>
      <c r="I3193" s="1">
        <v>0.01</v>
      </c>
      <c r="J3193" s="1">
        <v>0.24909999999999999</v>
      </c>
    </row>
    <row r="3194" spans="1:10" x14ac:dyDescent="0.2">
      <c r="A3194" t="str">
        <f>"13/10/2013"</f>
        <v>13/10/2013</v>
      </c>
      <c r="B3194">
        <v>1</v>
      </c>
      <c r="C3194">
        <v>37000</v>
      </c>
      <c r="D3194">
        <v>97542</v>
      </c>
      <c r="E3194">
        <v>37000</v>
      </c>
      <c r="F3194">
        <v>37000</v>
      </c>
      <c r="G3194" s="1">
        <v>0.01</v>
      </c>
      <c r="H3194" s="1">
        <v>0.01</v>
      </c>
      <c r="I3194" s="1">
        <v>0.01</v>
      </c>
      <c r="J3194" s="1">
        <v>0.25259999999999999</v>
      </c>
    </row>
    <row r="3195" spans="1:10" x14ac:dyDescent="0.2">
      <c r="A3195" t="str">
        <f>"10/10/2013"</f>
        <v>10/10/2013</v>
      </c>
      <c r="B3195">
        <v>3</v>
      </c>
      <c r="C3195">
        <v>38000</v>
      </c>
      <c r="D3195">
        <v>103805</v>
      </c>
      <c r="E3195">
        <v>38000</v>
      </c>
      <c r="F3195">
        <v>38000</v>
      </c>
      <c r="G3195" s="1">
        <v>0.01</v>
      </c>
      <c r="H3195" s="1">
        <v>0.01</v>
      </c>
      <c r="I3195" s="1">
        <v>0.01</v>
      </c>
      <c r="J3195" s="1">
        <v>0.22700000000000001</v>
      </c>
    </row>
    <row r="3196" spans="1:10" x14ac:dyDescent="0.2">
      <c r="A3196" t="str">
        <f>"09/10/2013"</f>
        <v>09/10/2013</v>
      </c>
      <c r="B3196">
        <v>1</v>
      </c>
      <c r="C3196">
        <v>37000</v>
      </c>
      <c r="D3196">
        <v>103893</v>
      </c>
      <c r="E3196">
        <v>37000</v>
      </c>
      <c r="F3196">
        <v>37000</v>
      </c>
      <c r="G3196" s="1">
        <v>0.01</v>
      </c>
      <c r="H3196" s="1">
        <v>9.9000000000000008E-3</v>
      </c>
      <c r="I3196" s="1">
        <v>9.9000000000000008E-3</v>
      </c>
      <c r="J3196" s="1">
        <v>0.1739</v>
      </c>
    </row>
    <row r="3197" spans="1:10" x14ac:dyDescent="0.2">
      <c r="A3197" t="str">
        <f>"08/10/2013"</f>
        <v>08/10/2013</v>
      </c>
      <c r="B3197">
        <v>1</v>
      </c>
      <c r="C3197">
        <v>37000</v>
      </c>
      <c r="D3197">
        <v>98763</v>
      </c>
      <c r="E3197">
        <v>37000</v>
      </c>
      <c r="F3197">
        <v>37000</v>
      </c>
      <c r="G3197" s="1">
        <v>0.01</v>
      </c>
      <c r="H3197" s="1">
        <v>9.9000000000000008E-3</v>
      </c>
      <c r="I3197" s="1">
        <v>9.9000000000000008E-3</v>
      </c>
      <c r="J3197" s="1">
        <v>0.16900000000000001</v>
      </c>
    </row>
    <row r="3198" spans="1:10" x14ac:dyDescent="0.2">
      <c r="A3198" t="str">
        <f>"07/10/2013"</f>
        <v>07/10/2013</v>
      </c>
      <c r="B3198">
        <v>1</v>
      </c>
      <c r="C3198">
        <v>36000</v>
      </c>
      <c r="D3198">
        <v>97815</v>
      </c>
      <c r="E3198">
        <v>36000</v>
      </c>
      <c r="F3198">
        <v>36000</v>
      </c>
      <c r="G3198" s="1">
        <v>0.01</v>
      </c>
      <c r="H3198" s="1">
        <v>9.9000000000000008E-3</v>
      </c>
      <c r="I3198" s="1">
        <v>9.9000000000000008E-3</v>
      </c>
      <c r="J3198" s="1">
        <v>0.17599999999999999</v>
      </c>
    </row>
    <row r="3199" spans="1:10" x14ac:dyDescent="0.2">
      <c r="A3199" t="str">
        <f>"06/10/2013"</f>
        <v>06/10/2013</v>
      </c>
      <c r="B3199">
        <v>1</v>
      </c>
      <c r="C3199">
        <v>34000</v>
      </c>
      <c r="D3199">
        <v>90245</v>
      </c>
      <c r="E3199">
        <v>34000</v>
      </c>
      <c r="F3199">
        <v>34000</v>
      </c>
      <c r="G3199" s="1">
        <v>0.01</v>
      </c>
      <c r="H3199" s="1">
        <v>9.9000000000000008E-3</v>
      </c>
      <c r="I3199" s="1">
        <v>9.9000000000000008E-3</v>
      </c>
      <c r="J3199" s="1">
        <v>0.18210000000000001</v>
      </c>
    </row>
    <row r="3200" spans="1:10" x14ac:dyDescent="0.2">
      <c r="A3200" t="str">
        <f>"03/10/2013"</f>
        <v>03/10/2013</v>
      </c>
      <c r="B3200">
        <v>3</v>
      </c>
      <c r="C3200">
        <v>33000</v>
      </c>
      <c r="D3200">
        <v>70070</v>
      </c>
      <c r="E3200">
        <v>33000</v>
      </c>
      <c r="F3200">
        <v>33000</v>
      </c>
      <c r="G3200" s="1">
        <v>0.01</v>
      </c>
      <c r="H3200" s="1">
        <v>9.9000000000000008E-3</v>
      </c>
      <c r="I3200" s="1">
        <v>9.9000000000000008E-3</v>
      </c>
      <c r="J3200" s="1">
        <v>0.25519999999999998</v>
      </c>
    </row>
    <row r="3201" spans="1:10" x14ac:dyDescent="0.2">
      <c r="A3201" t="str">
        <f>"02/10/2013"</f>
        <v>02/10/2013</v>
      </c>
      <c r="B3201">
        <v>1</v>
      </c>
      <c r="C3201">
        <v>32000</v>
      </c>
      <c r="D3201">
        <v>61929</v>
      </c>
      <c r="E3201">
        <v>32000</v>
      </c>
      <c r="F3201">
        <v>32000</v>
      </c>
      <c r="G3201" s="1">
        <v>0.01</v>
      </c>
      <c r="H3201" s="1">
        <v>9.9000000000000008E-3</v>
      </c>
      <c r="I3201" s="1">
        <v>9.9000000000000008E-3</v>
      </c>
      <c r="J3201" s="1">
        <v>0.3054</v>
      </c>
    </row>
    <row r="3202" spans="1:10" x14ac:dyDescent="0.2">
      <c r="A3202" t="str">
        <f>"01/10/2013"</f>
        <v>01/10/2013</v>
      </c>
      <c r="B3202">
        <v>1</v>
      </c>
      <c r="C3202">
        <v>33000</v>
      </c>
      <c r="D3202">
        <v>48448</v>
      </c>
      <c r="E3202">
        <v>33000</v>
      </c>
      <c r="F3202">
        <v>33000</v>
      </c>
      <c r="G3202" s="1">
        <v>0.01</v>
      </c>
      <c r="H3202" s="1">
        <v>9.9000000000000008E-3</v>
      </c>
      <c r="I3202" s="1">
        <v>9.9000000000000008E-3</v>
      </c>
      <c r="J3202" s="1">
        <v>0.47810000000000002</v>
      </c>
    </row>
    <row r="3203" spans="1:10" x14ac:dyDescent="0.2">
      <c r="A3203" t="str">
        <f>"30/09/2013"</f>
        <v>30/09/2013</v>
      </c>
      <c r="B3203">
        <v>1</v>
      </c>
      <c r="C3203">
        <v>30000</v>
      </c>
      <c r="D3203">
        <v>41009</v>
      </c>
      <c r="E3203">
        <v>30000</v>
      </c>
      <c r="F3203">
        <v>30000</v>
      </c>
      <c r="G3203" s="1">
        <v>0.01</v>
      </c>
      <c r="H3203" s="1">
        <v>0.01</v>
      </c>
      <c r="I3203" s="1">
        <v>0.01</v>
      </c>
      <c r="J3203" s="1">
        <v>0.61299999999999999</v>
      </c>
    </row>
    <row r="3204" spans="1:10" x14ac:dyDescent="0.2">
      <c r="A3204" t="str">
        <f>"29/09/2013"</f>
        <v>29/09/2013</v>
      </c>
      <c r="B3204">
        <v>1</v>
      </c>
      <c r="C3204">
        <v>22000</v>
      </c>
      <c r="D3204">
        <v>24451</v>
      </c>
      <c r="E3204">
        <v>22000</v>
      </c>
      <c r="F3204">
        <v>22000</v>
      </c>
      <c r="G3204" s="1">
        <v>0.01</v>
      </c>
      <c r="H3204" s="1">
        <v>0.01</v>
      </c>
      <c r="I3204" s="1">
        <v>0.01</v>
      </c>
      <c r="J3204" s="1">
        <v>0.85029999999999994</v>
      </c>
    </row>
    <row r="3205" spans="1:10" x14ac:dyDescent="0.2">
      <c r="A3205" t="str">
        <f>"25/09/2013"</f>
        <v>25/09/2013</v>
      </c>
      <c r="B3205">
        <v>4</v>
      </c>
      <c r="C3205">
        <v>33000</v>
      </c>
      <c r="D3205">
        <v>29483</v>
      </c>
      <c r="E3205">
        <v>29483</v>
      </c>
      <c r="F3205">
        <v>29483</v>
      </c>
      <c r="G3205" s="1">
        <v>1.2500000000000001E-2</v>
      </c>
      <c r="H3205" s="1">
        <v>1.24E-2</v>
      </c>
      <c r="I3205" s="1">
        <v>1.24E-2</v>
      </c>
      <c r="J3205" s="1">
        <v>1</v>
      </c>
    </row>
    <row r="3206" spans="1:10" x14ac:dyDescent="0.2">
      <c r="A3206" t="str">
        <f>"24/09/2013"</f>
        <v>24/09/2013</v>
      </c>
      <c r="B3206">
        <v>1</v>
      </c>
      <c r="C3206">
        <v>30000</v>
      </c>
      <c r="D3206">
        <v>35072</v>
      </c>
      <c r="E3206">
        <v>30000</v>
      </c>
      <c r="F3206">
        <v>30000</v>
      </c>
      <c r="G3206" s="1">
        <v>1.2500000000000001E-2</v>
      </c>
      <c r="H3206" s="1">
        <v>1.24E-2</v>
      </c>
      <c r="I3206" s="1">
        <v>1.24E-2</v>
      </c>
      <c r="J3206" s="1">
        <v>0.7016</v>
      </c>
    </row>
    <row r="3207" spans="1:10" x14ac:dyDescent="0.2">
      <c r="A3207" t="str">
        <f>"23/09/2013"</f>
        <v>23/09/2013</v>
      </c>
      <c r="B3207">
        <v>1</v>
      </c>
      <c r="C3207">
        <v>31000</v>
      </c>
      <c r="D3207">
        <v>36724</v>
      </c>
      <c r="E3207">
        <v>31000</v>
      </c>
      <c r="F3207">
        <v>31000</v>
      </c>
      <c r="G3207" s="1">
        <v>1.2500000000000001E-2</v>
      </c>
      <c r="H3207" s="1">
        <v>1.24E-2</v>
      </c>
      <c r="I3207" s="1">
        <v>1.24E-2</v>
      </c>
      <c r="J3207" s="1">
        <v>0.69869999999999999</v>
      </c>
    </row>
    <row r="3208" spans="1:10" x14ac:dyDescent="0.2">
      <c r="A3208" t="str">
        <f>"22/09/2013"</f>
        <v>22/09/2013</v>
      </c>
      <c r="B3208">
        <v>1</v>
      </c>
      <c r="C3208">
        <v>29000</v>
      </c>
      <c r="D3208">
        <v>44935</v>
      </c>
      <c r="E3208">
        <v>29000</v>
      </c>
      <c r="F3208">
        <v>29000</v>
      </c>
      <c r="G3208" s="1">
        <v>1.2500000000000001E-2</v>
      </c>
      <c r="H3208" s="1">
        <v>1.24E-2</v>
      </c>
      <c r="I3208" s="1">
        <v>1.24E-2</v>
      </c>
      <c r="J3208" s="1">
        <v>0.45050000000000001</v>
      </c>
    </row>
    <row r="3209" spans="1:10" x14ac:dyDescent="0.2">
      <c r="A3209" t="str">
        <f>"17/09/2013"</f>
        <v>17/09/2013</v>
      </c>
      <c r="B3209">
        <v>5</v>
      </c>
      <c r="C3209">
        <v>32000</v>
      </c>
      <c r="D3209">
        <v>73154</v>
      </c>
      <c r="E3209">
        <v>32000</v>
      </c>
      <c r="F3209">
        <v>32000</v>
      </c>
      <c r="G3209" s="1">
        <v>1.2500000000000001E-2</v>
      </c>
      <c r="H3209" s="1">
        <v>1.24E-2</v>
      </c>
      <c r="I3209" s="1">
        <v>1.24E-2</v>
      </c>
      <c r="J3209" s="1">
        <v>0.2293</v>
      </c>
    </row>
    <row r="3210" spans="1:10" x14ac:dyDescent="0.2">
      <c r="A3210" t="str">
        <f>"16/09/2013"</f>
        <v>16/09/2013</v>
      </c>
      <c r="B3210">
        <v>1</v>
      </c>
      <c r="C3210">
        <v>36000</v>
      </c>
      <c r="D3210">
        <v>94803</v>
      </c>
      <c r="E3210">
        <v>36000</v>
      </c>
      <c r="F3210">
        <v>36000</v>
      </c>
      <c r="G3210" s="1">
        <v>1.2500000000000001E-2</v>
      </c>
      <c r="H3210" s="1">
        <v>1.2500000000000001E-2</v>
      </c>
      <c r="I3210" s="1">
        <v>1.2500000000000001E-2</v>
      </c>
      <c r="J3210" s="1">
        <v>0.26500000000000001</v>
      </c>
    </row>
    <row r="3211" spans="1:10" x14ac:dyDescent="0.2">
      <c r="A3211" t="str">
        <f>"15/09/2013"</f>
        <v>15/09/2013</v>
      </c>
      <c r="B3211">
        <v>1</v>
      </c>
      <c r="C3211">
        <v>38000</v>
      </c>
      <c r="D3211">
        <v>109917</v>
      </c>
      <c r="E3211">
        <v>38000</v>
      </c>
      <c r="F3211">
        <v>38000</v>
      </c>
      <c r="G3211" s="1">
        <v>1.2500000000000001E-2</v>
      </c>
      <c r="H3211" s="1">
        <v>1.2500000000000001E-2</v>
      </c>
      <c r="I3211" s="1">
        <v>1.2500000000000001E-2</v>
      </c>
      <c r="J3211" s="1">
        <v>0.22589999999999999</v>
      </c>
    </row>
    <row r="3212" spans="1:10" x14ac:dyDescent="0.2">
      <c r="A3212" t="str">
        <f>"12/09/2013"</f>
        <v>12/09/2013</v>
      </c>
      <c r="B3212">
        <v>3</v>
      </c>
      <c r="C3212">
        <v>38000</v>
      </c>
      <c r="D3212">
        <v>96070</v>
      </c>
      <c r="E3212">
        <v>38000</v>
      </c>
      <c r="F3212">
        <v>38000</v>
      </c>
      <c r="G3212" s="1">
        <v>1.2500000000000001E-2</v>
      </c>
      <c r="H3212" s="1">
        <v>1.2500000000000001E-2</v>
      </c>
      <c r="I3212" s="1">
        <v>1.2500000000000001E-2</v>
      </c>
      <c r="J3212" s="1">
        <v>0.26490000000000002</v>
      </c>
    </row>
    <row r="3213" spans="1:10" x14ac:dyDescent="0.2">
      <c r="A3213" t="str">
        <f>"11/09/2013"</f>
        <v>11/09/2013</v>
      </c>
      <c r="B3213">
        <v>1</v>
      </c>
      <c r="C3213">
        <v>37000</v>
      </c>
      <c r="D3213">
        <v>108390</v>
      </c>
      <c r="E3213">
        <v>37000</v>
      </c>
      <c r="F3213">
        <v>37000</v>
      </c>
      <c r="G3213" s="1">
        <v>1.2500000000000001E-2</v>
      </c>
      <c r="H3213" s="1">
        <v>1.24E-2</v>
      </c>
      <c r="I3213" s="1">
        <v>1.24E-2</v>
      </c>
      <c r="J3213" s="1">
        <v>0.20230000000000001</v>
      </c>
    </row>
    <row r="3214" spans="1:10" x14ac:dyDescent="0.2">
      <c r="A3214" t="str">
        <f>"10/09/2013"</f>
        <v>10/09/2013</v>
      </c>
      <c r="B3214">
        <v>1</v>
      </c>
      <c r="C3214">
        <v>36000</v>
      </c>
      <c r="D3214">
        <v>96238</v>
      </c>
      <c r="E3214">
        <v>36000</v>
      </c>
      <c r="F3214">
        <v>36000</v>
      </c>
      <c r="G3214" s="1">
        <v>1.2500000000000001E-2</v>
      </c>
      <c r="H3214" s="1">
        <v>1.24E-2</v>
      </c>
      <c r="I3214" s="1">
        <v>1.24E-2</v>
      </c>
      <c r="J3214" s="1">
        <v>0.2064</v>
      </c>
    </row>
    <row r="3215" spans="1:10" x14ac:dyDescent="0.2">
      <c r="A3215" t="str">
        <f>"09/09/2013"</f>
        <v>09/09/2013</v>
      </c>
      <c r="B3215">
        <v>1</v>
      </c>
      <c r="C3215">
        <v>35000</v>
      </c>
      <c r="D3215">
        <v>84340</v>
      </c>
      <c r="E3215">
        <v>35000</v>
      </c>
      <c r="F3215">
        <v>35000</v>
      </c>
      <c r="G3215" s="1">
        <v>1.2500000000000001E-2</v>
      </c>
      <c r="H3215" s="1">
        <v>1.24E-2</v>
      </c>
      <c r="I3215" s="1">
        <v>1.24E-2</v>
      </c>
      <c r="J3215" s="1">
        <v>0.23350000000000001</v>
      </c>
    </row>
    <row r="3216" spans="1:10" x14ac:dyDescent="0.2">
      <c r="A3216" t="str">
        <f>"08/09/2013"</f>
        <v>08/09/2013</v>
      </c>
      <c r="B3216">
        <v>1</v>
      </c>
      <c r="C3216">
        <v>34000</v>
      </c>
      <c r="D3216">
        <v>77183</v>
      </c>
      <c r="E3216">
        <v>34000</v>
      </c>
      <c r="F3216">
        <v>34000</v>
      </c>
      <c r="G3216" s="1">
        <v>1.2500000000000001E-2</v>
      </c>
      <c r="H3216" s="1">
        <v>1.2500000000000001E-2</v>
      </c>
      <c r="I3216" s="1">
        <v>1.2500000000000001E-2</v>
      </c>
      <c r="J3216" s="1">
        <v>0.31559999999999999</v>
      </c>
    </row>
    <row r="3217" spans="1:10" x14ac:dyDescent="0.2">
      <c r="A3217" t="str">
        <f>"03/09/2013"</f>
        <v>03/09/2013</v>
      </c>
      <c r="B3217">
        <v>5</v>
      </c>
      <c r="C3217">
        <v>33000</v>
      </c>
      <c r="D3217">
        <v>51782</v>
      </c>
      <c r="E3217">
        <v>33000</v>
      </c>
      <c r="F3217">
        <v>33000</v>
      </c>
      <c r="G3217" s="1">
        <v>1.2500000000000001E-2</v>
      </c>
      <c r="H3217" s="1">
        <v>1.2500000000000001E-2</v>
      </c>
      <c r="I3217" s="1">
        <v>1.2500000000000001E-2</v>
      </c>
      <c r="J3217" s="1">
        <v>0.47899999999999998</v>
      </c>
    </row>
    <row r="3218" spans="1:10" x14ac:dyDescent="0.2">
      <c r="A3218" t="str">
        <f>"02/09/2013"</f>
        <v>02/09/2013</v>
      </c>
      <c r="B3218">
        <v>1</v>
      </c>
      <c r="C3218">
        <v>32000</v>
      </c>
      <c r="D3218">
        <v>59744</v>
      </c>
      <c r="E3218">
        <v>32000</v>
      </c>
      <c r="F3218">
        <v>32000</v>
      </c>
      <c r="G3218" s="1">
        <v>1.2500000000000001E-2</v>
      </c>
      <c r="H3218" s="1">
        <v>1.2500000000000001E-2</v>
      </c>
      <c r="I3218" s="1">
        <v>1.2500000000000001E-2</v>
      </c>
      <c r="J3218" s="1">
        <v>0.40400000000000003</v>
      </c>
    </row>
    <row r="3219" spans="1:10" x14ac:dyDescent="0.2">
      <c r="A3219" t="str">
        <f>"01/09/2013"</f>
        <v>01/09/2013</v>
      </c>
      <c r="B3219">
        <v>1</v>
      </c>
      <c r="C3219">
        <v>32000</v>
      </c>
      <c r="D3219">
        <v>46942</v>
      </c>
      <c r="E3219">
        <v>32000</v>
      </c>
      <c r="F3219">
        <v>32000</v>
      </c>
      <c r="G3219" s="1">
        <v>1.2500000000000001E-2</v>
      </c>
      <c r="H3219" s="1">
        <v>1.24E-2</v>
      </c>
      <c r="I3219" s="1">
        <v>1.24E-2</v>
      </c>
      <c r="J3219" s="1">
        <v>0.50370000000000004</v>
      </c>
    </row>
    <row r="3220" spans="1:10" x14ac:dyDescent="0.2">
      <c r="A3220" t="str">
        <f>"29/08/2013"</f>
        <v>29/08/2013</v>
      </c>
      <c r="B3220">
        <v>3</v>
      </c>
      <c r="C3220">
        <v>25000</v>
      </c>
      <c r="D3220">
        <v>34695</v>
      </c>
      <c r="E3220">
        <v>25000</v>
      </c>
      <c r="F3220">
        <v>25000</v>
      </c>
      <c r="G3220" s="1">
        <v>1.2500000000000001E-2</v>
      </c>
      <c r="H3220" s="1">
        <v>1.2500000000000001E-2</v>
      </c>
      <c r="I3220" s="1">
        <v>1.2500000000000001E-2</v>
      </c>
      <c r="J3220" s="1">
        <v>0.63929999999999998</v>
      </c>
    </row>
    <row r="3221" spans="1:10" x14ac:dyDescent="0.2">
      <c r="A3221" t="str">
        <f>"28/08/2013"</f>
        <v>28/08/2013</v>
      </c>
      <c r="B3221">
        <v>1</v>
      </c>
      <c r="C3221">
        <v>21000</v>
      </c>
      <c r="D3221">
        <v>17840</v>
      </c>
      <c r="E3221">
        <v>17840</v>
      </c>
      <c r="F3221">
        <v>17840</v>
      </c>
      <c r="G3221" s="1">
        <v>1.2500000000000001E-2</v>
      </c>
      <c r="H3221" s="1">
        <v>1.24E-2</v>
      </c>
      <c r="I3221" s="1">
        <v>1.24E-2</v>
      </c>
      <c r="J3221" s="1">
        <v>1</v>
      </c>
    </row>
    <row r="3222" spans="1:10" x14ac:dyDescent="0.2">
      <c r="A3222" t="str">
        <f>"27/08/2013"</f>
        <v>27/08/2013</v>
      </c>
      <c r="B3222">
        <v>1</v>
      </c>
      <c r="C3222">
        <v>17000</v>
      </c>
      <c r="D3222">
        <v>26636</v>
      </c>
      <c r="E3222">
        <v>17000</v>
      </c>
      <c r="F3222">
        <v>17000</v>
      </c>
      <c r="G3222" s="1">
        <v>1.2500000000000001E-2</v>
      </c>
      <c r="H3222" s="1">
        <v>1.24E-2</v>
      </c>
      <c r="I3222" s="1">
        <v>1.24E-2</v>
      </c>
      <c r="J3222" s="1">
        <v>0.31169999999999998</v>
      </c>
    </row>
    <row r="3223" spans="1:10" x14ac:dyDescent="0.2">
      <c r="A3223" t="str">
        <f>"26/08/2013"</f>
        <v>26/08/2013</v>
      </c>
      <c r="B3223">
        <v>1</v>
      </c>
      <c r="C3223">
        <v>17000</v>
      </c>
      <c r="D3223">
        <v>28115</v>
      </c>
      <c r="E3223">
        <v>17000</v>
      </c>
      <c r="F3223">
        <v>17000</v>
      </c>
      <c r="G3223" s="1">
        <v>1.2500000000000001E-2</v>
      </c>
      <c r="H3223" s="1">
        <v>1.24E-2</v>
      </c>
      <c r="I3223" s="1">
        <v>1.24E-2</v>
      </c>
      <c r="J3223" s="1">
        <v>0.25900000000000001</v>
      </c>
    </row>
    <row r="3224" spans="1:10" x14ac:dyDescent="0.2">
      <c r="A3224" t="str">
        <f>"25/08/2013"</f>
        <v>25/08/2013</v>
      </c>
      <c r="B3224">
        <v>1</v>
      </c>
      <c r="C3224">
        <v>18000</v>
      </c>
      <c r="D3224">
        <v>21366</v>
      </c>
      <c r="E3224">
        <v>18000</v>
      </c>
      <c r="F3224">
        <v>18000</v>
      </c>
      <c r="G3224" s="1">
        <v>1.2500000000000001E-2</v>
      </c>
      <c r="H3224" s="1">
        <v>1.24E-2</v>
      </c>
      <c r="I3224" s="1">
        <v>1.24E-2</v>
      </c>
      <c r="J3224" s="1">
        <v>0.60399999999999998</v>
      </c>
    </row>
    <row r="3225" spans="1:10" x14ac:dyDescent="0.2">
      <c r="A3225" t="str">
        <f>"22/08/2013"</f>
        <v>22/08/2013</v>
      </c>
      <c r="B3225">
        <v>3</v>
      </c>
      <c r="C3225">
        <v>22000</v>
      </c>
      <c r="D3225">
        <v>27750</v>
      </c>
      <c r="E3225">
        <v>22000</v>
      </c>
      <c r="F3225">
        <v>22000</v>
      </c>
      <c r="G3225" s="1">
        <v>1.2500000000000001E-2</v>
      </c>
      <c r="H3225" s="1">
        <v>1.2500000000000001E-2</v>
      </c>
      <c r="I3225" s="1">
        <v>1.2500000000000001E-2</v>
      </c>
      <c r="J3225" s="1">
        <v>0.71250000000000002</v>
      </c>
    </row>
    <row r="3226" spans="1:10" x14ac:dyDescent="0.2">
      <c r="A3226" t="str">
        <f>"21/08/2013"</f>
        <v>21/08/2013</v>
      </c>
      <c r="B3226">
        <v>1</v>
      </c>
      <c r="C3226">
        <v>25000</v>
      </c>
      <c r="D3226">
        <v>53730</v>
      </c>
      <c r="E3226">
        <v>25000</v>
      </c>
      <c r="F3226">
        <v>25000</v>
      </c>
      <c r="G3226" s="1">
        <v>1.2500000000000001E-2</v>
      </c>
      <c r="H3226" s="1">
        <v>1.24E-2</v>
      </c>
      <c r="I3226" s="1">
        <v>1.24E-2</v>
      </c>
      <c r="J3226" s="1">
        <v>0.24340000000000001</v>
      </c>
    </row>
    <row r="3227" spans="1:10" x14ac:dyDescent="0.2">
      <c r="A3227" t="str">
        <f>"20/08/2013"</f>
        <v>20/08/2013</v>
      </c>
      <c r="B3227">
        <v>1</v>
      </c>
      <c r="C3227">
        <v>24000</v>
      </c>
      <c r="D3227">
        <v>58243</v>
      </c>
      <c r="E3227">
        <v>24000</v>
      </c>
      <c r="F3227">
        <v>24000</v>
      </c>
      <c r="G3227" s="1">
        <v>1.2500000000000001E-2</v>
      </c>
      <c r="H3227" s="1">
        <v>1.24E-2</v>
      </c>
      <c r="I3227" s="1">
        <v>1.24E-2</v>
      </c>
      <c r="J3227" s="1">
        <v>0.2009</v>
      </c>
    </row>
    <row r="3228" spans="1:10" x14ac:dyDescent="0.2">
      <c r="A3228" t="str">
        <f>"19/08/2013"</f>
        <v>19/08/2013</v>
      </c>
      <c r="B3228">
        <v>1</v>
      </c>
      <c r="C3228">
        <v>24000</v>
      </c>
      <c r="D3228">
        <v>59440</v>
      </c>
      <c r="E3228">
        <v>24000</v>
      </c>
      <c r="F3228">
        <v>24000</v>
      </c>
      <c r="G3228" s="1">
        <v>1.2500000000000001E-2</v>
      </c>
      <c r="H3228" s="1">
        <v>1.24E-2</v>
      </c>
      <c r="I3228" s="1">
        <v>1.24E-2</v>
      </c>
      <c r="J3228" s="1">
        <v>0.21890000000000001</v>
      </c>
    </row>
    <row r="3229" spans="1:10" x14ac:dyDescent="0.2">
      <c r="A3229" t="str">
        <f>"18/08/2013"</f>
        <v>18/08/2013</v>
      </c>
      <c r="B3229">
        <v>1</v>
      </c>
      <c r="C3229">
        <v>25000</v>
      </c>
      <c r="D3229">
        <v>63105</v>
      </c>
      <c r="E3229">
        <v>25000</v>
      </c>
      <c r="F3229">
        <v>25000</v>
      </c>
      <c r="G3229" s="1">
        <v>1.2500000000000001E-2</v>
      </c>
      <c r="H3229" s="1">
        <v>1.2500000000000001E-2</v>
      </c>
      <c r="I3229" s="1">
        <v>1.2500000000000001E-2</v>
      </c>
      <c r="J3229" s="1">
        <v>0.2742</v>
      </c>
    </row>
    <row r="3230" spans="1:10" x14ac:dyDescent="0.2">
      <c r="A3230" t="str">
        <f>"15/08/2013"</f>
        <v>15/08/2013</v>
      </c>
      <c r="B3230">
        <v>3</v>
      </c>
      <c r="C3230">
        <v>27000</v>
      </c>
      <c r="D3230">
        <v>59995</v>
      </c>
      <c r="E3230">
        <v>27000</v>
      </c>
      <c r="F3230">
        <v>27000</v>
      </c>
      <c r="G3230" s="1">
        <v>1.2500000000000001E-2</v>
      </c>
      <c r="H3230" s="1">
        <v>1.2500000000000001E-2</v>
      </c>
      <c r="I3230" s="1">
        <v>1.2500000000000001E-2</v>
      </c>
      <c r="J3230" s="1">
        <v>0.3417</v>
      </c>
    </row>
    <row r="3231" spans="1:10" x14ac:dyDescent="0.2">
      <c r="A3231" t="str">
        <f>"15/08/2013"</f>
        <v>15/08/2013</v>
      </c>
      <c r="B3231">
        <v>1</v>
      </c>
      <c r="C3231">
        <v>8000</v>
      </c>
      <c r="D3231">
        <v>13710</v>
      </c>
      <c r="E3231">
        <v>8000</v>
      </c>
      <c r="F3231">
        <v>8000</v>
      </c>
      <c r="G3231" s="1">
        <v>1.2500000000000001E-2</v>
      </c>
      <c r="H3231" s="1">
        <v>1.2500000000000001E-2</v>
      </c>
      <c r="I3231" s="1">
        <v>1.2500000000000001E-2</v>
      </c>
      <c r="J3231" s="1">
        <v>0.57699999999999996</v>
      </c>
    </row>
    <row r="3232" spans="1:10" x14ac:dyDescent="0.2">
      <c r="A3232" t="str">
        <f>"14/08/2013"</f>
        <v>14/08/2013</v>
      </c>
      <c r="B3232">
        <v>1</v>
      </c>
      <c r="C3232">
        <v>30000</v>
      </c>
      <c r="D3232">
        <v>77992</v>
      </c>
      <c r="E3232">
        <v>30000</v>
      </c>
      <c r="F3232">
        <v>30000</v>
      </c>
      <c r="G3232" s="1">
        <v>1.2500000000000001E-2</v>
      </c>
      <c r="H3232" s="1">
        <v>1.2500000000000001E-2</v>
      </c>
      <c r="I3232" s="1">
        <v>1.2500000000000001E-2</v>
      </c>
      <c r="J3232" s="1">
        <v>0.2772</v>
      </c>
    </row>
    <row r="3233" spans="1:10" x14ac:dyDescent="0.2">
      <c r="A3233" t="str">
        <f>"13/08/2013"</f>
        <v>13/08/2013</v>
      </c>
      <c r="B3233">
        <v>1</v>
      </c>
      <c r="C3233">
        <v>30000</v>
      </c>
      <c r="D3233">
        <v>85178</v>
      </c>
      <c r="E3233">
        <v>30000</v>
      </c>
      <c r="F3233">
        <v>30000</v>
      </c>
      <c r="G3233" s="1">
        <v>1.2500000000000001E-2</v>
      </c>
      <c r="H3233" s="1">
        <v>1.2500000000000001E-2</v>
      </c>
      <c r="I3233" s="1">
        <v>1.2500000000000001E-2</v>
      </c>
      <c r="J3233" s="1">
        <v>0.2525</v>
      </c>
    </row>
    <row r="3234" spans="1:10" x14ac:dyDescent="0.2">
      <c r="A3234" t="str">
        <f>"12/08/2013"</f>
        <v>12/08/2013</v>
      </c>
      <c r="B3234">
        <v>1</v>
      </c>
      <c r="C3234">
        <v>31000</v>
      </c>
      <c r="D3234">
        <v>94683</v>
      </c>
      <c r="E3234">
        <v>31000</v>
      </c>
      <c r="F3234">
        <v>31000</v>
      </c>
      <c r="G3234" s="1">
        <v>1.2500000000000001E-2</v>
      </c>
      <c r="H3234" s="1">
        <v>1.2500000000000001E-2</v>
      </c>
      <c r="I3234" s="1">
        <v>1.2500000000000001E-2</v>
      </c>
      <c r="J3234" s="1">
        <v>0.2286</v>
      </c>
    </row>
    <row r="3235" spans="1:10" x14ac:dyDescent="0.2">
      <c r="A3235" t="str">
        <f>"11/08/2013"</f>
        <v>11/08/2013</v>
      </c>
      <c r="B3235">
        <v>1</v>
      </c>
      <c r="C3235">
        <v>31000</v>
      </c>
      <c r="D3235">
        <v>91450</v>
      </c>
      <c r="E3235">
        <v>31000</v>
      </c>
      <c r="F3235">
        <v>31000</v>
      </c>
      <c r="G3235" s="1">
        <v>1.2500000000000001E-2</v>
      </c>
      <c r="H3235" s="1">
        <v>1.2500000000000001E-2</v>
      </c>
      <c r="I3235" s="1">
        <v>1.2500000000000001E-2</v>
      </c>
      <c r="J3235" s="1">
        <v>0.2235</v>
      </c>
    </row>
    <row r="3236" spans="1:10" x14ac:dyDescent="0.2">
      <c r="A3236" t="str">
        <f>"08/08/2013"</f>
        <v>08/08/2013</v>
      </c>
      <c r="B3236">
        <v>3</v>
      </c>
      <c r="C3236">
        <v>30000</v>
      </c>
      <c r="D3236">
        <v>91380</v>
      </c>
      <c r="E3236">
        <v>30000</v>
      </c>
      <c r="F3236">
        <v>30000</v>
      </c>
      <c r="G3236" s="1">
        <v>1.2500000000000001E-2</v>
      </c>
      <c r="H3236" s="1">
        <v>1.2500000000000001E-2</v>
      </c>
      <c r="I3236" s="1">
        <v>1.2500000000000001E-2</v>
      </c>
      <c r="J3236" s="1">
        <v>0.21870000000000001</v>
      </c>
    </row>
    <row r="3237" spans="1:10" x14ac:dyDescent="0.2">
      <c r="A3237" t="str">
        <f>"07/08/2013"</f>
        <v>07/08/2013</v>
      </c>
      <c r="B3237">
        <v>1</v>
      </c>
      <c r="C3237">
        <v>29000</v>
      </c>
      <c r="D3237">
        <v>94739</v>
      </c>
      <c r="E3237">
        <v>29000</v>
      </c>
      <c r="F3237">
        <v>29000</v>
      </c>
      <c r="G3237" s="1">
        <v>1.2500000000000001E-2</v>
      </c>
      <c r="H3237" s="1">
        <v>1.2500000000000001E-2</v>
      </c>
      <c r="I3237" s="1">
        <v>1.2500000000000001E-2</v>
      </c>
      <c r="J3237" s="1">
        <v>0.2056</v>
      </c>
    </row>
    <row r="3238" spans="1:10" x14ac:dyDescent="0.2">
      <c r="A3238" t="str">
        <f>"06/08/2013"</f>
        <v>06/08/2013</v>
      </c>
      <c r="B3238">
        <v>1</v>
      </c>
      <c r="C3238">
        <v>29000</v>
      </c>
      <c r="D3238">
        <v>84582</v>
      </c>
      <c r="E3238">
        <v>29000</v>
      </c>
      <c r="F3238">
        <v>29000</v>
      </c>
      <c r="G3238" s="1">
        <v>1.2500000000000001E-2</v>
      </c>
      <c r="H3238" s="1">
        <v>1.2500000000000001E-2</v>
      </c>
      <c r="I3238" s="1">
        <v>1.2500000000000001E-2</v>
      </c>
      <c r="J3238" s="1">
        <v>0.2263</v>
      </c>
    </row>
    <row r="3239" spans="1:10" x14ac:dyDescent="0.2">
      <c r="A3239" t="str">
        <f>"05/08/2013"</f>
        <v>05/08/2013</v>
      </c>
      <c r="B3239">
        <v>1</v>
      </c>
      <c r="C3239">
        <v>30000</v>
      </c>
      <c r="D3239">
        <v>69346</v>
      </c>
      <c r="E3239">
        <v>30000</v>
      </c>
      <c r="F3239">
        <v>30000</v>
      </c>
      <c r="G3239" s="1">
        <v>1.2500000000000001E-2</v>
      </c>
      <c r="H3239" s="1">
        <v>1.2500000000000001E-2</v>
      </c>
      <c r="I3239" s="1">
        <v>1.2500000000000001E-2</v>
      </c>
      <c r="J3239" s="1">
        <v>0.29110000000000003</v>
      </c>
    </row>
    <row r="3240" spans="1:10" x14ac:dyDescent="0.2">
      <c r="A3240" t="str">
        <f>"04/08/2013"</f>
        <v>04/08/2013</v>
      </c>
      <c r="B3240">
        <v>1</v>
      </c>
      <c r="C3240">
        <v>30000</v>
      </c>
      <c r="D3240">
        <v>53672</v>
      </c>
      <c r="E3240">
        <v>30000</v>
      </c>
      <c r="F3240">
        <v>30000</v>
      </c>
      <c r="G3240" s="1">
        <v>1.2500000000000001E-2</v>
      </c>
      <c r="H3240" s="1">
        <v>1.24E-2</v>
      </c>
      <c r="I3240" s="1">
        <v>1.24E-2</v>
      </c>
      <c r="J3240" s="1">
        <v>0.38340000000000002</v>
      </c>
    </row>
    <row r="3241" spans="1:10" x14ac:dyDescent="0.2">
      <c r="A3241" t="str">
        <f>"01/08/2013"</f>
        <v>01/08/2013</v>
      </c>
      <c r="B3241">
        <v>3</v>
      </c>
      <c r="C3241">
        <v>31000</v>
      </c>
      <c r="D3241">
        <v>41226</v>
      </c>
      <c r="E3241">
        <v>31000</v>
      </c>
      <c r="F3241">
        <v>31000</v>
      </c>
      <c r="G3241" s="1">
        <v>1.2500000000000001E-2</v>
      </c>
      <c r="H3241" s="1">
        <v>1.2500000000000001E-2</v>
      </c>
      <c r="I3241" s="1">
        <v>1.2500000000000001E-2</v>
      </c>
      <c r="J3241" s="1">
        <v>0.67069999999999996</v>
      </c>
    </row>
    <row r="3242" spans="1:10" x14ac:dyDescent="0.2">
      <c r="A3242" t="str">
        <f>"31/07/2013"</f>
        <v>31/07/2013</v>
      </c>
      <c r="B3242">
        <v>1</v>
      </c>
      <c r="C3242">
        <v>29000</v>
      </c>
      <c r="D3242">
        <v>26939</v>
      </c>
      <c r="E3242">
        <v>26939</v>
      </c>
      <c r="F3242">
        <v>26939</v>
      </c>
      <c r="G3242" s="1">
        <v>1.2500000000000001E-2</v>
      </c>
      <c r="H3242" s="1">
        <v>1.24E-2</v>
      </c>
      <c r="I3242" s="1">
        <v>1.24E-2</v>
      </c>
      <c r="J3242" s="1">
        <v>1</v>
      </c>
    </row>
    <row r="3243" spans="1:10" x14ac:dyDescent="0.2">
      <c r="A3243" t="str">
        <f>"30/07/2013"</f>
        <v>30/07/2013</v>
      </c>
      <c r="B3243">
        <v>1</v>
      </c>
      <c r="C3243">
        <v>24000</v>
      </c>
      <c r="D3243">
        <v>49878</v>
      </c>
      <c r="E3243">
        <v>24000</v>
      </c>
      <c r="F3243">
        <v>24000</v>
      </c>
      <c r="G3243" s="1">
        <v>1.2500000000000001E-2</v>
      </c>
      <c r="H3243" s="1">
        <v>1.24E-2</v>
      </c>
      <c r="I3243" s="1">
        <v>1.24E-2</v>
      </c>
      <c r="J3243" s="1">
        <v>0.1913</v>
      </c>
    </row>
    <row r="3244" spans="1:10" x14ac:dyDescent="0.2">
      <c r="A3244" t="str">
        <f>"29/07/2013"</f>
        <v>29/07/2013</v>
      </c>
      <c r="B3244">
        <v>1</v>
      </c>
      <c r="C3244">
        <v>26000</v>
      </c>
      <c r="D3244">
        <v>59511</v>
      </c>
      <c r="E3244">
        <v>26000</v>
      </c>
      <c r="F3244">
        <v>26000</v>
      </c>
      <c r="G3244" s="1">
        <v>1.2500000000000001E-2</v>
      </c>
      <c r="H3244" s="1">
        <v>1.24E-2</v>
      </c>
      <c r="I3244" s="1">
        <v>1.24E-2</v>
      </c>
      <c r="J3244" s="1">
        <v>0.14069999999999999</v>
      </c>
    </row>
    <row r="3245" spans="1:10" x14ac:dyDescent="0.2">
      <c r="A3245" t="str">
        <f>"28/07/2013"</f>
        <v>28/07/2013</v>
      </c>
      <c r="B3245">
        <v>1</v>
      </c>
      <c r="C3245">
        <v>26000</v>
      </c>
      <c r="D3245">
        <v>58219</v>
      </c>
      <c r="E3245">
        <v>26000</v>
      </c>
      <c r="F3245">
        <v>26000</v>
      </c>
      <c r="G3245" s="1">
        <v>1.2500000000000001E-2</v>
      </c>
      <c r="H3245" s="1">
        <v>1.24E-2</v>
      </c>
      <c r="I3245" s="1">
        <v>1.24E-2</v>
      </c>
      <c r="J3245" s="1">
        <v>0.16750000000000001</v>
      </c>
    </row>
    <row r="3246" spans="1:10" x14ac:dyDescent="0.2">
      <c r="A3246" t="str">
        <f>"25/07/2013"</f>
        <v>25/07/2013</v>
      </c>
      <c r="B3246">
        <v>3</v>
      </c>
      <c r="C3246">
        <v>24000</v>
      </c>
      <c r="D3246">
        <v>69128</v>
      </c>
      <c r="E3246">
        <v>24000</v>
      </c>
      <c r="F3246">
        <v>24000</v>
      </c>
      <c r="G3246" s="1">
        <v>1.2500000000000001E-2</v>
      </c>
      <c r="H3246" s="1">
        <v>1.24E-2</v>
      </c>
      <c r="I3246" s="1">
        <v>1.24E-2</v>
      </c>
      <c r="J3246" s="1">
        <v>0.14369999999999999</v>
      </c>
    </row>
    <row r="3247" spans="1:10" x14ac:dyDescent="0.2">
      <c r="A3247" t="str">
        <f>"24/07/2013"</f>
        <v>24/07/2013</v>
      </c>
      <c r="B3247">
        <v>1</v>
      </c>
      <c r="C3247">
        <v>25000</v>
      </c>
      <c r="D3247">
        <v>72346</v>
      </c>
      <c r="E3247">
        <v>25000</v>
      </c>
      <c r="F3247">
        <v>25000</v>
      </c>
      <c r="G3247" s="1">
        <v>1.2500000000000001E-2</v>
      </c>
      <c r="H3247" s="1">
        <v>1.24E-2</v>
      </c>
      <c r="I3247" s="1">
        <v>1.24E-2</v>
      </c>
      <c r="J3247" s="1">
        <v>0.1084</v>
      </c>
    </row>
    <row r="3248" spans="1:10" x14ac:dyDescent="0.2">
      <c r="A3248" t="str">
        <f>"23/07/2013"</f>
        <v>23/07/2013</v>
      </c>
      <c r="B3248">
        <v>1</v>
      </c>
      <c r="C3248">
        <v>26000</v>
      </c>
      <c r="D3248">
        <v>79009</v>
      </c>
      <c r="E3248">
        <v>26000</v>
      </c>
      <c r="F3248">
        <v>26000</v>
      </c>
      <c r="G3248" s="1">
        <v>1.2500000000000001E-2</v>
      </c>
      <c r="H3248" s="1">
        <v>1.24E-2</v>
      </c>
      <c r="I3248" s="1">
        <v>1.24E-2</v>
      </c>
      <c r="J3248" s="1">
        <v>0.12529999999999999</v>
      </c>
    </row>
    <row r="3249" spans="1:10" x14ac:dyDescent="0.2">
      <c r="A3249" t="str">
        <f>"22/07/2013"</f>
        <v>22/07/2013</v>
      </c>
      <c r="B3249">
        <v>1</v>
      </c>
      <c r="C3249">
        <v>27000</v>
      </c>
      <c r="D3249">
        <v>90173</v>
      </c>
      <c r="E3249">
        <v>27000</v>
      </c>
      <c r="F3249">
        <v>27000</v>
      </c>
      <c r="G3249" s="1">
        <v>1.2500000000000001E-2</v>
      </c>
      <c r="H3249" s="1">
        <v>1.24E-2</v>
      </c>
      <c r="I3249" s="1">
        <v>1.24E-2</v>
      </c>
      <c r="J3249" s="1">
        <v>0.1295</v>
      </c>
    </row>
    <row r="3250" spans="1:10" x14ac:dyDescent="0.2">
      <c r="A3250" t="str">
        <f>"21/07/2013"</f>
        <v>21/07/2013</v>
      </c>
      <c r="B3250">
        <v>1</v>
      </c>
      <c r="C3250">
        <v>28000</v>
      </c>
      <c r="D3250">
        <v>88111</v>
      </c>
      <c r="E3250">
        <v>28000</v>
      </c>
      <c r="F3250">
        <v>28000</v>
      </c>
      <c r="G3250" s="1">
        <v>1.2500000000000001E-2</v>
      </c>
      <c r="H3250" s="1">
        <v>1.24E-2</v>
      </c>
      <c r="I3250" s="1">
        <v>1.24E-2</v>
      </c>
      <c r="J3250" s="1">
        <v>0.17280000000000001</v>
      </c>
    </row>
    <row r="3251" spans="1:10" x14ac:dyDescent="0.2">
      <c r="A3251" t="str">
        <f>"18/07/2013"</f>
        <v>18/07/2013</v>
      </c>
      <c r="B3251">
        <v>3</v>
      </c>
      <c r="C3251">
        <v>29000</v>
      </c>
      <c r="D3251">
        <v>88876</v>
      </c>
      <c r="E3251">
        <v>29000</v>
      </c>
      <c r="F3251">
        <v>29000</v>
      </c>
      <c r="G3251" s="1">
        <v>1.2500000000000001E-2</v>
      </c>
      <c r="H3251" s="1">
        <v>1.24E-2</v>
      </c>
      <c r="I3251" s="1">
        <v>1.24E-2</v>
      </c>
      <c r="J3251" s="1">
        <v>0.18140000000000001</v>
      </c>
    </row>
    <row r="3252" spans="1:10" x14ac:dyDescent="0.2">
      <c r="A3252" t="str">
        <f>"17/07/2013"</f>
        <v>17/07/2013</v>
      </c>
      <c r="B3252">
        <v>1</v>
      </c>
      <c r="C3252">
        <v>25000</v>
      </c>
      <c r="D3252">
        <v>58663</v>
      </c>
      <c r="E3252">
        <v>25000</v>
      </c>
      <c r="F3252">
        <v>25000</v>
      </c>
      <c r="G3252" s="1">
        <v>1.2500000000000001E-2</v>
      </c>
      <c r="H3252" s="1">
        <v>1.24E-2</v>
      </c>
      <c r="I3252" s="1">
        <v>1.24E-2</v>
      </c>
      <c r="J3252" s="1">
        <v>0.22969999999999999</v>
      </c>
    </row>
    <row r="3253" spans="1:10" x14ac:dyDescent="0.2">
      <c r="A3253" t="str">
        <f>"15/07/2013"</f>
        <v>15/07/2013</v>
      </c>
      <c r="B3253">
        <v>2</v>
      </c>
      <c r="C3253">
        <v>35000</v>
      </c>
      <c r="D3253">
        <v>95203</v>
      </c>
      <c r="E3253">
        <v>35000</v>
      </c>
      <c r="F3253">
        <v>35000</v>
      </c>
      <c r="G3253" s="1">
        <v>1.2500000000000001E-2</v>
      </c>
      <c r="H3253" s="1">
        <v>1.2500000000000001E-2</v>
      </c>
      <c r="I3253" s="1">
        <v>1.2500000000000001E-2</v>
      </c>
      <c r="J3253" s="1">
        <v>0.2301</v>
      </c>
    </row>
    <row r="3254" spans="1:10" x14ac:dyDescent="0.2">
      <c r="A3254" t="str">
        <f>"14/07/2013"</f>
        <v>14/07/2013</v>
      </c>
      <c r="B3254">
        <v>1</v>
      </c>
      <c r="C3254">
        <v>36000</v>
      </c>
      <c r="D3254">
        <v>93089</v>
      </c>
      <c r="E3254">
        <v>36000</v>
      </c>
      <c r="F3254">
        <v>36000</v>
      </c>
      <c r="G3254" s="1">
        <v>1.2500000000000001E-2</v>
      </c>
      <c r="H3254" s="1">
        <v>1.2500000000000001E-2</v>
      </c>
      <c r="I3254" s="1">
        <v>1.2500000000000001E-2</v>
      </c>
      <c r="J3254" s="1">
        <v>0.24560000000000001</v>
      </c>
    </row>
    <row r="3255" spans="1:10" x14ac:dyDescent="0.2">
      <c r="A3255" t="str">
        <f>"11/07/2013"</f>
        <v>11/07/2013</v>
      </c>
      <c r="B3255">
        <v>3</v>
      </c>
      <c r="C3255">
        <v>37000</v>
      </c>
      <c r="D3255">
        <v>105146</v>
      </c>
      <c r="E3255">
        <v>37000</v>
      </c>
      <c r="F3255">
        <v>37000</v>
      </c>
      <c r="G3255" s="1">
        <v>1.2500000000000001E-2</v>
      </c>
      <c r="H3255" s="1">
        <v>1.2500000000000001E-2</v>
      </c>
      <c r="I3255" s="1">
        <v>1.2500000000000001E-2</v>
      </c>
      <c r="J3255" s="1">
        <v>0.23430000000000001</v>
      </c>
    </row>
    <row r="3256" spans="1:10" x14ac:dyDescent="0.2">
      <c r="A3256" t="str">
        <f>"10/07/2013"</f>
        <v>10/07/2013</v>
      </c>
      <c r="B3256">
        <v>1</v>
      </c>
      <c r="C3256">
        <v>36000</v>
      </c>
      <c r="D3256">
        <v>94740</v>
      </c>
      <c r="E3256">
        <v>36000</v>
      </c>
      <c r="F3256">
        <v>36000</v>
      </c>
      <c r="G3256" s="1">
        <v>1.2500000000000001E-2</v>
      </c>
      <c r="H3256" s="1">
        <v>1.2500000000000001E-2</v>
      </c>
      <c r="I3256" s="1">
        <v>1.2500000000000001E-2</v>
      </c>
      <c r="J3256" s="1">
        <v>0.27550000000000002</v>
      </c>
    </row>
    <row r="3257" spans="1:10" x14ac:dyDescent="0.2">
      <c r="A3257" t="str">
        <f>"09/07/2013"</f>
        <v>09/07/2013</v>
      </c>
      <c r="B3257">
        <v>1</v>
      </c>
      <c r="C3257">
        <v>36000</v>
      </c>
      <c r="D3257">
        <v>95402</v>
      </c>
      <c r="E3257">
        <v>36000</v>
      </c>
      <c r="F3257">
        <v>36000</v>
      </c>
      <c r="G3257" s="1">
        <v>1.2500000000000001E-2</v>
      </c>
      <c r="H3257" s="1">
        <v>1.2500000000000001E-2</v>
      </c>
      <c r="I3257" s="1">
        <v>1.2500000000000001E-2</v>
      </c>
      <c r="J3257" s="1">
        <v>0.2702</v>
      </c>
    </row>
    <row r="3258" spans="1:10" x14ac:dyDescent="0.2">
      <c r="A3258" t="str">
        <f>"08/07/2013"</f>
        <v>08/07/2013</v>
      </c>
      <c r="B3258">
        <v>1</v>
      </c>
      <c r="C3258">
        <v>37000</v>
      </c>
      <c r="D3258">
        <v>107203</v>
      </c>
      <c r="E3258">
        <v>37000</v>
      </c>
      <c r="F3258">
        <v>37000</v>
      </c>
      <c r="G3258" s="1">
        <v>1.2500000000000001E-2</v>
      </c>
      <c r="H3258" s="1">
        <v>1.2500000000000001E-2</v>
      </c>
      <c r="I3258" s="1">
        <v>1.2500000000000001E-2</v>
      </c>
      <c r="J3258" s="1">
        <v>0.21859999999999999</v>
      </c>
    </row>
    <row r="3259" spans="1:10" x14ac:dyDescent="0.2">
      <c r="A3259" t="str">
        <f>"07/07/2013"</f>
        <v>07/07/2013</v>
      </c>
      <c r="B3259">
        <v>1</v>
      </c>
      <c r="C3259">
        <v>37000</v>
      </c>
      <c r="D3259">
        <v>107368</v>
      </c>
      <c r="E3259">
        <v>37000</v>
      </c>
      <c r="F3259">
        <v>37000</v>
      </c>
      <c r="G3259" s="1">
        <v>1.2500000000000001E-2</v>
      </c>
      <c r="H3259" s="1">
        <v>1.2500000000000001E-2</v>
      </c>
      <c r="I3259" s="1">
        <v>1.2500000000000001E-2</v>
      </c>
      <c r="J3259" s="1">
        <v>0.22720000000000001</v>
      </c>
    </row>
    <row r="3260" spans="1:10" x14ac:dyDescent="0.2">
      <c r="A3260" t="str">
        <f>"04/07/2013"</f>
        <v>04/07/2013</v>
      </c>
      <c r="B3260">
        <v>3</v>
      </c>
      <c r="C3260">
        <v>37000</v>
      </c>
      <c r="D3260">
        <v>90174</v>
      </c>
      <c r="E3260">
        <v>37000</v>
      </c>
      <c r="F3260">
        <v>37000</v>
      </c>
      <c r="G3260" s="1">
        <v>1.2500000000000001E-2</v>
      </c>
      <c r="H3260" s="1">
        <v>1.2500000000000001E-2</v>
      </c>
      <c r="I3260" s="1">
        <v>1.2500000000000001E-2</v>
      </c>
      <c r="J3260" s="1">
        <v>0.27329999999999999</v>
      </c>
    </row>
    <row r="3261" spans="1:10" x14ac:dyDescent="0.2">
      <c r="A3261" t="str">
        <f>"03/07/2013"</f>
        <v>03/07/2013</v>
      </c>
      <c r="B3261">
        <v>1</v>
      </c>
      <c r="C3261">
        <v>42000</v>
      </c>
      <c r="D3261">
        <v>89430</v>
      </c>
      <c r="E3261">
        <v>42000</v>
      </c>
      <c r="F3261">
        <v>42000</v>
      </c>
      <c r="G3261" s="1">
        <v>1.2500000000000001E-2</v>
      </c>
      <c r="H3261" s="1">
        <v>1.2500000000000001E-2</v>
      </c>
      <c r="I3261" s="1">
        <v>1.2500000000000001E-2</v>
      </c>
      <c r="J3261" s="1">
        <v>0.30990000000000001</v>
      </c>
    </row>
    <row r="3262" spans="1:10" x14ac:dyDescent="0.2">
      <c r="A3262" t="str">
        <f>"02/07/2013"</f>
        <v>02/07/2013</v>
      </c>
      <c r="B3262">
        <v>1</v>
      </c>
      <c r="C3262">
        <v>42000</v>
      </c>
      <c r="D3262">
        <v>80837</v>
      </c>
      <c r="E3262">
        <v>42000</v>
      </c>
      <c r="F3262">
        <v>42000</v>
      </c>
      <c r="G3262" s="1">
        <v>1.2500000000000001E-2</v>
      </c>
      <c r="H3262" s="1">
        <v>1.2500000000000001E-2</v>
      </c>
      <c r="I3262" s="1">
        <v>1.2500000000000001E-2</v>
      </c>
      <c r="J3262" s="1">
        <v>0.3619</v>
      </c>
    </row>
    <row r="3263" spans="1:10" x14ac:dyDescent="0.2">
      <c r="A3263" t="str">
        <f>"01/07/2013"</f>
        <v>01/07/2013</v>
      </c>
      <c r="B3263">
        <v>1</v>
      </c>
      <c r="C3263">
        <v>41000</v>
      </c>
      <c r="D3263">
        <v>59450</v>
      </c>
      <c r="E3263">
        <v>41000</v>
      </c>
      <c r="F3263">
        <v>41000</v>
      </c>
      <c r="G3263" s="1">
        <v>1.2500000000000001E-2</v>
      </c>
      <c r="H3263" s="1">
        <v>1.24E-2</v>
      </c>
      <c r="I3263" s="1">
        <v>1.24E-2</v>
      </c>
      <c r="J3263" s="1">
        <v>0.51449999999999996</v>
      </c>
    </row>
    <row r="3264" spans="1:10" x14ac:dyDescent="0.2">
      <c r="A3264" t="str">
        <f>"30/06/2013"</f>
        <v>30/06/2013</v>
      </c>
      <c r="B3264">
        <v>1</v>
      </c>
      <c r="C3264">
        <v>34000</v>
      </c>
      <c r="D3264">
        <v>46165</v>
      </c>
      <c r="E3264">
        <v>34000</v>
      </c>
      <c r="F3264">
        <v>34000</v>
      </c>
      <c r="G3264" s="1">
        <v>1.2500000000000001E-2</v>
      </c>
      <c r="H3264" s="1">
        <v>1.24E-2</v>
      </c>
      <c r="I3264" s="1">
        <v>1.24E-2</v>
      </c>
      <c r="J3264" s="1">
        <v>0.54339999999999999</v>
      </c>
    </row>
    <row r="3265" spans="1:10" x14ac:dyDescent="0.2">
      <c r="A3265" t="str">
        <f>"27/06/2013"</f>
        <v>27/06/2013</v>
      </c>
      <c r="B3265">
        <v>3</v>
      </c>
      <c r="C3265">
        <v>27000</v>
      </c>
      <c r="D3265">
        <v>34809</v>
      </c>
      <c r="E3265">
        <v>27000</v>
      </c>
      <c r="F3265">
        <v>27000</v>
      </c>
      <c r="G3265" s="1">
        <v>1.2500000000000001E-2</v>
      </c>
      <c r="H3265" s="1">
        <v>1.2500000000000001E-2</v>
      </c>
      <c r="I3265" s="1">
        <v>1.2500000000000001E-2</v>
      </c>
      <c r="J3265" s="1">
        <v>0.65820000000000001</v>
      </c>
    </row>
    <row r="3266" spans="1:10" x14ac:dyDescent="0.2">
      <c r="A3266" t="str">
        <f>"26/06/2013"</f>
        <v>26/06/2013</v>
      </c>
      <c r="B3266">
        <v>1</v>
      </c>
      <c r="C3266">
        <v>18000</v>
      </c>
      <c r="D3266">
        <v>16932</v>
      </c>
      <c r="E3266">
        <v>16932</v>
      </c>
      <c r="F3266">
        <v>16932</v>
      </c>
      <c r="G3266" s="1">
        <v>1.2500000000000001E-2</v>
      </c>
      <c r="H3266" s="1">
        <v>1.24E-2</v>
      </c>
      <c r="I3266" s="1">
        <v>1.24E-2</v>
      </c>
      <c r="J3266" s="1">
        <v>1</v>
      </c>
    </row>
    <row r="3267" spans="1:10" x14ac:dyDescent="0.2">
      <c r="A3267" t="str">
        <f>"25/06/2013"</f>
        <v>25/06/2013</v>
      </c>
      <c r="B3267">
        <v>1</v>
      </c>
      <c r="C3267">
        <v>16000</v>
      </c>
      <c r="D3267">
        <v>15767</v>
      </c>
      <c r="E3267">
        <v>15767</v>
      </c>
      <c r="F3267">
        <v>15767</v>
      </c>
      <c r="G3267" s="1">
        <v>1.24E-2</v>
      </c>
      <c r="H3267" s="1">
        <v>1.24E-2</v>
      </c>
      <c r="I3267" s="1">
        <v>1.24E-2</v>
      </c>
      <c r="J3267" s="1">
        <v>1</v>
      </c>
    </row>
    <row r="3268" spans="1:10" x14ac:dyDescent="0.2">
      <c r="A3268" t="str">
        <f>"24/06/2013"</f>
        <v>24/06/2013</v>
      </c>
      <c r="B3268">
        <v>1</v>
      </c>
      <c r="C3268">
        <v>16000</v>
      </c>
      <c r="D3268">
        <v>16117</v>
      </c>
      <c r="E3268">
        <v>16000</v>
      </c>
      <c r="F3268">
        <v>16000</v>
      </c>
      <c r="G3268" s="1">
        <v>1.24E-2</v>
      </c>
      <c r="H3268" s="1">
        <v>1.24E-2</v>
      </c>
      <c r="I3268" s="1">
        <v>1.24E-2</v>
      </c>
      <c r="J3268" s="1">
        <v>0.99219999999999997</v>
      </c>
    </row>
    <row r="3269" spans="1:10" x14ac:dyDescent="0.2">
      <c r="A3269" t="str">
        <f>"23/06/2013"</f>
        <v>23/06/2013</v>
      </c>
      <c r="B3269">
        <v>1</v>
      </c>
      <c r="C3269">
        <v>16000</v>
      </c>
      <c r="D3269">
        <v>16958</v>
      </c>
      <c r="E3269">
        <v>16000</v>
      </c>
      <c r="F3269">
        <v>16000</v>
      </c>
      <c r="G3269" s="1">
        <v>1.24E-2</v>
      </c>
      <c r="H3269" s="1">
        <v>1.24E-2</v>
      </c>
      <c r="I3269" s="1">
        <v>1.24E-2</v>
      </c>
      <c r="J3269" s="1">
        <v>0.94350000000000001</v>
      </c>
    </row>
    <row r="3270" spans="1:10" x14ac:dyDescent="0.2">
      <c r="A3270" t="str">
        <f>"20/06/2013"</f>
        <v>20/06/2013</v>
      </c>
      <c r="B3270">
        <v>3</v>
      </c>
      <c r="C3270">
        <v>20000</v>
      </c>
      <c r="D3270">
        <v>47100</v>
      </c>
      <c r="E3270">
        <v>20000</v>
      </c>
      <c r="F3270">
        <v>20000</v>
      </c>
      <c r="G3270" s="1">
        <v>1.2500000000000001E-2</v>
      </c>
      <c r="H3270" s="1">
        <v>1.24E-2</v>
      </c>
      <c r="I3270" s="1">
        <v>1.24E-2</v>
      </c>
      <c r="J3270" s="1">
        <v>9.6699999999999994E-2</v>
      </c>
    </row>
    <row r="3271" spans="1:10" x14ac:dyDescent="0.2">
      <c r="A3271" t="str">
        <f>"19/06/2013"</f>
        <v>19/06/2013</v>
      </c>
      <c r="B3271">
        <v>1</v>
      </c>
      <c r="C3271">
        <v>17000</v>
      </c>
      <c r="D3271">
        <v>54975</v>
      </c>
      <c r="E3271">
        <v>17000</v>
      </c>
      <c r="F3271">
        <v>17000</v>
      </c>
      <c r="G3271" s="1">
        <v>1.2500000000000001E-2</v>
      </c>
      <c r="H3271" s="1">
        <v>1.24E-2</v>
      </c>
      <c r="I3271" s="1">
        <v>1.24E-2</v>
      </c>
      <c r="J3271" s="1">
        <v>2.2100000000000002E-2</v>
      </c>
    </row>
    <row r="3272" spans="1:10" x14ac:dyDescent="0.2">
      <c r="A3272" t="str">
        <f>"18/06/2013"</f>
        <v>18/06/2013</v>
      </c>
      <c r="B3272">
        <v>1</v>
      </c>
      <c r="C3272">
        <v>17000</v>
      </c>
      <c r="D3272">
        <v>55158</v>
      </c>
      <c r="E3272">
        <v>17000</v>
      </c>
      <c r="F3272">
        <v>17000</v>
      </c>
      <c r="G3272" s="1">
        <v>1.2500000000000001E-2</v>
      </c>
      <c r="H3272" s="1">
        <v>1.24E-2</v>
      </c>
      <c r="I3272" s="1">
        <v>1.24E-2</v>
      </c>
      <c r="J3272" s="1">
        <v>8.3799999999999999E-2</v>
      </c>
    </row>
    <row r="3273" spans="1:10" x14ac:dyDescent="0.2">
      <c r="A3273" t="str">
        <f>"17/06/2013"</f>
        <v>17/06/2013</v>
      </c>
      <c r="B3273">
        <v>1</v>
      </c>
      <c r="C3273">
        <v>16000</v>
      </c>
      <c r="D3273">
        <v>38720</v>
      </c>
      <c r="E3273">
        <v>16000</v>
      </c>
      <c r="F3273">
        <v>16000</v>
      </c>
      <c r="G3273" s="1">
        <v>1.2500000000000001E-2</v>
      </c>
      <c r="H3273" s="1">
        <v>1.24E-2</v>
      </c>
      <c r="I3273" s="1">
        <v>1.24E-2</v>
      </c>
      <c r="J3273" s="1">
        <v>9.2100000000000001E-2</v>
      </c>
    </row>
    <row r="3274" spans="1:10" x14ac:dyDescent="0.2">
      <c r="A3274" t="str">
        <f>"16/06/2013"</f>
        <v>16/06/2013</v>
      </c>
      <c r="B3274">
        <v>1</v>
      </c>
      <c r="C3274">
        <v>25000</v>
      </c>
      <c r="D3274">
        <v>82991</v>
      </c>
      <c r="E3274">
        <v>25000</v>
      </c>
      <c r="F3274">
        <v>25000</v>
      </c>
      <c r="G3274" s="1">
        <v>1.2500000000000001E-2</v>
      </c>
      <c r="H3274" s="1">
        <v>1.24E-2</v>
      </c>
      <c r="I3274" s="1">
        <v>1.24E-2</v>
      </c>
      <c r="J3274" s="1">
        <v>0.17449999999999999</v>
      </c>
    </row>
    <row r="3275" spans="1:10" x14ac:dyDescent="0.2">
      <c r="A3275" t="str">
        <f>"13/06/2013"</f>
        <v>13/06/2013</v>
      </c>
      <c r="B3275">
        <v>3</v>
      </c>
      <c r="C3275">
        <v>26000</v>
      </c>
      <c r="D3275">
        <v>70761</v>
      </c>
      <c r="E3275">
        <v>26000</v>
      </c>
      <c r="F3275">
        <v>26000</v>
      </c>
      <c r="G3275" s="1">
        <v>1.2500000000000001E-2</v>
      </c>
      <c r="H3275" s="1">
        <v>1.24E-2</v>
      </c>
      <c r="I3275" s="1">
        <v>1.24E-2</v>
      </c>
      <c r="J3275" s="1">
        <v>0.21440000000000001</v>
      </c>
    </row>
    <row r="3276" spans="1:10" x14ac:dyDescent="0.2">
      <c r="A3276" t="str">
        <f>"12/06/2013"</f>
        <v>12/06/2013</v>
      </c>
      <c r="B3276">
        <v>1</v>
      </c>
      <c r="C3276">
        <v>27000</v>
      </c>
      <c r="D3276">
        <v>77951</v>
      </c>
      <c r="E3276">
        <v>27000</v>
      </c>
      <c r="F3276">
        <v>27000</v>
      </c>
      <c r="G3276" s="1">
        <v>1.2500000000000001E-2</v>
      </c>
      <c r="H3276" s="1">
        <v>1.2500000000000001E-2</v>
      </c>
      <c r="I3276" s="1">
        <v>1.2500000000000001E-2</v>
      </c>
      <c r="J3276" s="1">
        <v>0.2273</v>
      </c>
    </row>
    <row r="3277" spans="1:10" x14ac:dyDescent="0.2">
      <c r="A3277" t="str">
        <f>"11/06/2013"</f>
        <v>11/06/2013</v>
      </c>
      <c r="B3277">
        <v>1</v>
      </c>
      <c r="C3277">
        <v>27000</v>
      </c>
      <c r="D3277">
        <v>76435</v>
      </c>
      <c r="E3277">
        <v>27000</v>
      </c>
      <c r="F3277">
        <v>27000</v>
      </c>
      <c r="G3277" s="1">
        <v>1.2500000000000001E-2</v>
      </c>
      <c r="H3277" s="1">
        <v>1.2500000000000001E-2</v>
      </c>
      <c r="I3277" s="1">
        <v>1.2500000000000001E-2</v>
      </c>
      <c r="J3277" s="1">
        <v>0.24479999999999999</v>
      </c>
    </row>
    <row r="3278" spans="1:10" x14ac:dyDescent="0.2">
      <c r="A3278" t="str">
        <f>"10/06/2013"</f>
        <v>10/06/2013</v>
      </c>
      <c r="B3278">
        <v>1</v>
      </c>
      <c r="C3278">
        <v>27000</v>
      </c>
      <c r="D3278">
        <v>77253</v>
      </c>
      <c r="E3278">
        <v>27000</v>
      </c>
      <c r="F3278">
        <v>27000</v>
      </c>
      <c r="G3278" s="1">
        <v>1.2500000000000001E-2</v>
      </c>
      <c r="H3278" s="1">
        <v>1.2500000000000001E-2</v>
      </c>
      <c r="I3278" s="1">
        <v>1.2500000000000001E-2</v>
      </c>
      <c r="J3278" s="1">
        <v>0.2349</v>
      </c>
    </row>
    <row r="3279" spans="1:10" x14ac:dyDescent="0.2">
      <c r="A3279" t="str">
        <f>"09/06/2013"</f>
        <v>09/06/2013</v>
      </c>
      <c r="B3279">
        <v>1</v>
      </c>
      <c r="C3279">
        <v>26000</v>
      </c>
      <c r="D3279">
        <v>67537</v>
      </c>
      <c r="E3279">
        <v>26000</v>
      </c>
      <c r="F3279">
        <v>26000</v>
      </c>
      <c r="G3279" s="1">
        <v>1.2500000000000001E-2</v>
      </c>
      <c r="H3279" s="1">
        <v>1.2500000000000001E-2</v>
      </c>
      <c r="I3279" s="1">
        <v>1.2500000000000001E-2</v>
      </c>
      <c r="J3279" s="1">
        <v>0.26340000000000002</v>
      </c>
    </row>
    <row r="3280" spans="1:10" x14ac:dyDescent="0.2">
      <c r="A3280" t="str">
        <f>"06/06/2013"</f>
        <v>06/06/2013</v>
      </c>
      <c r="B3280">
        <v>3</v>
      </c>
      <c r="C3280">
        <v>26000</v>
      </c>
      <c r="D3280">
        <v>56868</v>
      </c>
      <c r="E3280">
        <v>26000</v>
      </c>
      <c r="F3280">
        <v>26000</v>
      </c>
      <c r="G3280" s="1">
        <v>1.2500000000000001E-2</v>
      </c>
      <c r="H3280" s="1">
        <v>1.2500000000000001E-2</v>
      </c>
      <c r="I3280" s="1">
        <v>1.2500000000000001E-2</v>
      </c>
      <c r="J3280" s="1">
        <v>0.315</v>
      </c>
    </row>
    <row r="3281" spans="1:10" x14ac:dyDescent="0.2">
      <c r="A3281" t="str">
        <f>"05/06/2013"</f>
        <v>05/06/2013</v>
      </c>
      <c r="B3281">
        <v>1</v>
      </c>
      <c r="C3281">
        <v>26000</v>
      </c>
      <c r="D3281">
        <v>51433</v>
      </c>
      <c r="E3281">
        <v>26000</v>
      </c>
      <c r="F3281">
        <v>26000</v>
      </c>
      <c r="G3281" s="1">
        <v>1.2500000000000001E-2</v>
      </c>
      <c r="H3281" s="1">
        <v>1.24E-2</v>
      </c>
      <c r="I3281" s="1">
        <v>1.24E-2</v>
      </c>
      <c r="J3281" s="1">
        <v>0.32119999999999999</v>
      </c>
    </row>
    <row r="3282" spans="1:10" x14ac:dyDescent="0.2">
      <c r="A3282" t="str">
        <f>"04/06/2013"</f>
        <v>04/06/2013</v>
      </c>
      <c r="B3282">
        <v>1</v>
      </c>
      <c r="C3282">
        <v>26000</v>
      </c>
      <c r="D3282">
        <v>47027</v>
      </c>
      <c r="E3282">
        <v>26000</v>
      </c>
      <c r="F3282">
        <v>26000</v>
      </c>
      <c r="G3282" s="1">
        <v>1.2500000000000001E-2</v>
      </c>
      <c r="H3282" s="1">
        <v>1.2500000000000001E-2</v>
      </c>
      <c r="I3282" s="1">
        <v>1.2500000000000001E-2</v>
      </c>
      <c r="J3282" s="1">
        <v>0.40010000000000001</v>
      </c>
    </row>
    <row r="3283" spans="1:10" x14ac:dyDescent="0.2">
      <c r="A3283" t="str">
        <f>"03/06/2013"</f>
        <v>03/06/2013</v>
      </c>
      <c r="B3283">
        <v>1</v>
      </c>
      <c r="C3283">
        <v>27000</v>
      </c>
      <c r="D3283">
        <v>42115</v>
      </c>
      <c r="E3283">
        <v>27000</v>
      </c>
      <c r="F3283">
        <v>27000</v>
      </c>
      <c r="G3283" s="1">
        <v>1.2500000000000001E-2</v>
      </c>
      <c r="H3283" s="1">
        <v>1.2500000000000001E-2</v>
      </c>
      <c r="I3283" s="1">
        <v>1.2500000000000001E-2</v>
      </c>
      <c r="J3283" s="1">
        <v>0.51359999999999995</v>
      </c>
    </row>
    <row r="3284" spans="1:10" x14ac:dyDescent="0.2">
      <c r="A3284" t="str">
        <f>"02/06/2013"</f>
        <v>02/06/2013</v>
      </c>
      <c r="B3284">
        <v>1</v>
      </c>
      <c r="C3284">
        <v>28000</v>
      </c>
      <c r="D3284">
        <v>37665</v>
      </c>
      <c r="E3284">
        <v>28000</v>
      </c>
      <c r="F3284">
        <v>28000</v>
      </c>
      <c r="G3284" s="1">
        <v>1.2500000000000001E-2</v>
      </c>
      <c r="H3284" s="1">
        <v>1.2500000000000001E-2</v>
      </c>
      <c r="I3284" s="1">
        <v>1.2500000000000001E-2</v>
      </c>
      <c r="J3284" s="1">
        <v>0.65129999999999999</v>
      </c>
    </row>
    <row r="3285" spans="1:10" x14ac:dyDescent="0.2">
      <c r="A3285" t="str">
        <f>"30/05/2013"</f>
        <v>30/05/2013</v>
      </c>
      <c r="B3285">
        <v>3</v>
      </c>
      <c r="C3285">
        <v>21000</v>
      </c>
      <c r="D3285">
        <v>24645</v>
      </c>
      <c r="E3285">
        <v>21000</v>
      </c>
      <c r="F3285">
        <v>21000</v>
      </c>
      <c r="G3285" s="1">
        <v>1.2500000000000001E-2</v>
      </c>
      <c r="H3285" s="1">
        <v>1.2500000000000001E-2</v>
      </c>
      <c r="I3285" s="1">
        <v>1.2500000000000001E-2</v>
      </c>
      <c r="J3285" s="1">
        <v>0.79349999999999998</v>
      </c>
    </row>
    <row r="3286" spans="1:10" x14ac:dyDescent="0.2">
      <c r="A3286" t="str">
        <f>"29/05/2013"</f>
        <v>29/05/2013</v>
      </c>
      <c r="B3286">
        <v>1</v>
      </c>
      <c r="C3286">
        <v>17000</v>
      </c>
      <c r="D3286">
        <v>18372</v>
      </c>
      <c r="E3286">
        <v>17000</v>
      </c>
      <c r="F3286">
        <v>17000</v>
      </c>
      <c r="G3286" s="1">
        <v>1.49E-2</v>
      </c>
      <c r="H3286" s="1">
        <v>1.49E-2</v>
      </c>
      <c r="I3286" s="1">
        <v>1.49E-2</v>
      </c>
      <c r="J3286" s="1">
        <v>0.99119999999999997</v>
      </c>
    </row>
    <row r="3287" spans="1:10" x14ac:dyDescent="0.2">
      <c r="A3287" t="str">
        <f>"28/05/2013"</f>
        <v>28/05/2013</v>
      </c>
      <c r="B3287">
        <v>1</v>
      </c>
      <c r="C3287">
        <v>19000</v>
      </c>
      <c r="D3287">
        <v>23818</v>
      </c>
      <c r="E3287">
        <v>19000</v>
      </c>
      <c r="F3287">
        <v>19000</v>
      </c>
      <c r="G3287" s="1">
        <v>1.4999999999999999E-2</v>
      </c>
      <c r="H3287" s="1">
        <v>1.49E-2</v>
      </c>
      <c r="I3287" s="1">
        <v>1.49E-2</v>
      </c>
      <c r="J3287" s="1">
        <v>0.63500000000000001</v>
      </c>
    </row>
    <row r="3288" spans="1:10" x14ac:dyDescent="0.2">
      <c r="A3288" t="str">
        <f>"27/05/2013"</f>
        <v>27/05/2013</v>
      </c>
      <c r="B3288">
        <v>1</v>
      </c>
      <c r="C3288">
        <v>16000</v>
      </c>
      <c r="D3288">
        <v>21841</v>
      </c>
      <c r="E3288">
        <v>16000</v>
      </c>
      <c r="F3288">
        <v>16000</v>
      </c>
      <c r="G3288" s="1">
        <v>1.4999999999999999E-2</v>
      </c>
      <c r="H3288" s="1">
        <v>1.49E-2</v>
      </c>
      <c r="I3288" s="1">
        <v>1.49E-2</v>
      </c>
      <c r="J3288" s="1">
        <v>0.43290000000000001</v>
      </c>
    </row>
    <row r="3289" spans="1:10" x14ac:dyDescent="0.2">
      <c r="A3289" t="str">
        <f>"26/05/2013"</f>
        <v>26/05/2013</v>
      </c>
      <c r="B3289">
        <v>1</v>
      </c>
      <c r="C3289">
        <v>16000</v>
      </c>
      <c r="D3289">
        <v>18682</v>
      </c>
      <c r="E3289">
        <v>16000</v>
      </c>
      <c r="F3289">
        <v>16000</v>
      </c>
      <c r="G3289" s="1">
        <v>1.4999999999999999E-2</v>
      </c>
      <c r="H3289" s="1">
        <v>1.49E-2</v>
      </c>
      <c r="I3289" s="1">
        <v>1.49E-2</v>
      </c>
      <c r="J3289" s="1">
        <v>0.66479999999999995</v>
      </c>
    </row>
    <row r="3290" spans="1:10" x14ac:dyDescent="0.2">
      <c r="A3290" t="str">
        <f>"23/05/2013"</f>
        <v>23/05/2013</v>
      </c>
      <c r="B3290">
        <v>3</v>
      </c>
      <c r="C3290">
        <v>18000</v>
      </c>
      <c r="D3290">
        <v>31933</v>
      </c>
      <c r="E3290">
        <v>18000</v>
      </c>
      <c r="F3290">
        <v>18000</v>
      </c>
      <c r="G3290" s="1">
        <v>1.4999999999999999E-2</v>
      </c>
      <c r="H3290" s="1">
        <v>1.49E-2</v>
      </c>
      <c r="I3290" s="1">
        <v>1.49E-2</v>
      </c>
      <c r="J3290" s="1">
        <v>0.22589999999999999</v>
      </c>
    </row>
    <row r="3291" spans="1:10" x14ac:dyDescent="0.2">
      <c r="A3291" t="str">
        <f>"22/05/2013"</f>
        <v>22/05/2013</v>
      </c>
      <c r="B3291">
        <v>1</v>
      </c>
      <c r="C3291">
        <v>18000</v>
      </c>
      <c r="D3291">
        <v>37530</v>
      </c>
      <c r="E3291">
        <v>18000</v>
      </c>
      <c r="F3291">
        <v>18000</v>
      </c>
      <c r="G3291" s="1">
        <v>1.4999999999999999E-2</v>
      </c>
      <c r="H3291" s="1">
        <v>1.49E-2</v>
      </c>
      <c r="I3291" s="1">
        <v>1.49E-2</v>
      </c>
      <c r="J3291" s="1">
        <v>0.127</v>
      </c>
    </row>
    <row r="3292" spans="1:10" x14ac:dyDescent="0.2">
      <c r="A3292" t="str">
        <f>"21/05/2013"</f>
        <v>21/05/2013</v>
      </c>
      <c r="B3292">
        <v>1</v>
      </c>
      <c r="C3292">
        <v>19000</v>
      </c>
      <c r="D3292">
        <v>35090</v>
      </c>
      <c r="E3292">
        <v>19000</v>
      </c>
      <c r="F3292">
        <v>19000</v>
      </c>
      <c r="G3292" s="1">
        <v>1.4999999999999999E-2</v>
      </c>
      <c r="H3292" s="1">
        <v>1.49E-2</v>
      </c>
      <c r="I3292" s="1">
        <v>1.49E-2</v>
      </c>
      <c r="J3292" s="1">
        <v>0.26860000000000001</v>
      </c>
    </row>
    <row r="3293" spans="1:10" x14ac:dyDescent="0.2">
      <c r="A3293" t="str">
        <f>"20/05/2013"</f>
        <v>20/05/2013</v>
      </c>
      <c r="B3293">
        <v>1</v>
      </c>
      <c r="C3293">
        <v>21000</v>
      </c>
      <c r="D3293">
        <v>35401</v>
      </c>
      <c r="E3293">
        <v>21000</v>
      </c>
      <c r="F3293">
        <v>21000</v>
      </c>
      <c r="G3293" s="1">
        <v>1.4999999999999999E-2</v>
      </c>
      <c r="H3293" s="1">
        <v>1.49E-2</v>
      </c>
      <c r="I3293" s="1">
        <v>1.49E-2</v>
      </c>
      <c r="J3293" s="1">
        <v>0.31419999999999998</v>
      </c>
    </row>
    <row r="3294" spans="1:10" x14ac:dyDescent="0.2">
      <c r="A3294" t="str">
        <f>"19/05/2013"</f>
        <v>19/05/2013</v>
      </c>
      <c r="B3294">
        <v>1</v>
      </c>
      <c r="C3294">
        <v>30000</v>
      </c>
      <c r="D3294">
        <v>43867</v>
      </c>
      <c r="E3294">
        <v>30000</v>
      </c>
      <c r="F3294">
        <v>30000</v>
      </c>
      <c r="G3294" s="1">
        <v>1.4999999999999999E-2</v>
      </c>
      <c r="H3294" s="1">
        <v>1.49E-2</v>
      </c>
      <c r="I3294" s="1">
        <v>1.49E-2</v>
      </c>
      <c r="J3294" s="1">
        <v>0.4733</v>
      </c>
    </row>
    <row r="3295" spans="1:10" x14ac:dyDescent="0.2">
      <c r="A3295" t="str">
        <f>"16/05/2013"</f>
        <v>16/05/2013</v>
      </c>
      <c r="B3295">
        <v>3</v>
      </c>
      <c r="C3295">
        <v>33000</v>
      </c>
      <c r="D3295">
        <v>52308</v>
      </c>
      <c r="E3295">
        <v>33000</v>
      </c>
      <c r="F3295">
        <v>33000</v>
      </c>
      <c r="G3295" s="1">
        <v>1.7500000000000002E-2</v>
      </c>
      <c r="H3295" s="1">
        <v>1.7399999999999999E-2</v>
      </c>
      <c r="I3295" s="1">
        <v>1.7399999999999999E-2</v>
      </c>
      <c r="J3295" s="1">
        <v>0.25480000000000003</v>
      </c>
    </row>
    <row r="3296" spans="1:10" x14ac:dyDescent="0.2">
      <c r="A3296" t="str">
        <f>"13/05/2013"</f>
        <v>13/05/2013</v>
      </c>
      <c r="B3296">
        <v>3</v>
      </c>
      <c r="C3296">
        <v>35000</v>
      </c>
      <c r="D3296">
        <v>49516</v>
      </c>
      <c r="E3296">
        <v>35000</v>
      </c>
      <c r="F3296">
        <v>35000</v>
      </c>
      <c r="G3296" s="1">
        <v>1.7500000000000002E-2</v>
      </c>
      <c r="H3296" s="1">
        <v>1.7299999999999999E-2</v>
      </c>
      <c r="I3296" s="1">
        <v>1.7299999999999999E-2</v>
      </c>
      <c r="J3296" s="1">
        <v>0.48449999999999999</v>
      </c>
    </row>
    <row r="3297" spans="1:10" x14ac:dyDescent="0.2">
      <c r="A3297" t="str">
        <f>"12/05/2013"</f>
        <v>12/05/2013</v>
      </c>
      <c r="B3297">
        <v>1</v>
      </c>
      <c r="C3297">
        <v>36000</v>
      </c>
      <c r="D3297">
        <v>45617</v>
      </c>
      <c r="E3297">
        <v>36000</v>
      </c>
      <c r="F3297">
        <v>36000</v>
      </c>
      <c r="G3297" s="1">
        <v>1.7500000000000002E-2</v>
      </c>
      <c r="H3297" s="1">
        <v>1.7500000000000002E-2</v>
      </c>
      <c r="I3297" s="1">
        <v>1.7500000000000002E-2</v>
      </c>
      <c r="J3297" s="1">
        <v>0.68689999999999996</v>
      </c>
    </row>
    <row r="3298" spans="1:10" x14ac:dyDescent="0.2">
      <c r="A3298" t="str">
        <f>"09/05/2013"</f>
        <v>09/05/2013</v>
      </c>
      <c r="B3298">
        <v>3</v>
      </c>
      <c r="C3298">
        <v>36000</v>
      </c>
      <c r="D3298">
        <v>49836</v>
      </c>
      <c r="E3298">
        <v>36000</v>
      </c>
      <c r="F3298">
        <v>36000</v>
      </c>
      <c r="G3298" s="1">
        <v>1.7500000000000002E-2</v>
      </c>
      <c r="H3298" s="1">
        <v>1.7500000000000002E-2</v>
      </c>
      <c r="I3298" s="1">
        <v>1.7500000000000002E-2</v>
      </c>
      <c r="J3298" s="1">
        <v>0.57750000000000001</v>
      </c>
    </row>
    <row r="3299" spans="1:10" x14ac:dyDescent="0.2">
      <c r="A3299" t="str">
        <f>"08/05/2013"</f>
        <v>08/05/2013</v>
      </c>
      <c r="B3299">
        <v>1</v>
      </c>
      <c r="C3299">
        <v>37000</v>
      </c>
      <c r="D3299">
        <v>57198</v>
      </c>
      <c r="E3299">
        <v>37000</v>
      </c>
      <c r="F3299">
        <v>37000</v>
      </c>
      <c r="G3299" s="1">
        <v>1.7500000000000002E-2</v>
      </c>
      <c r="H3299" s="1">
        <v>1.7500000000000002E-2</v>
      </c>
      <c r="I3299" s="1">
        <v>1.7500000000000002E-2</v>
      </c>
      <c r="J3299" s="1">
        <v>0.53580000000000005</v>
      </c>
    </row>
    <row r="3300" spans="1:10" x14ac:dyDescent="0.2">
      <c r="A3300" t="str">
        <f>"07/05/2013"</f>
        <v>07/05/2013</v>
      </c>
      <c r="B3300">
        <v>1</v>
      </c>
      <c r="C3300">
        <v>38000</v>
      </c>
      <c r="D3300">
        <v>54546</v>
      </c>
      <c r="E3300">
        <v>38000</v>
      </c>
      <c r="F3300">
        <v>38000</v>
      </c>
      <c r="G3300" s="1">
        <v>1.7500000000000002E-2</v>
      </c>
      <c r="H3300" s="1">
        <v>1.7500000000000002E-2</v>
      </c>
      <c r="I3300" s="1">
        <v>1.7500000000000002E-2</v>
      </c>
      <c r="J3300" s="1">
        <v>0.55010000000000003</v>
      </c>
    </row>
    <row r="3301" spans="1:10" x14ac:dyDescent="0.2">
      <c r="A3301" t="str">
        <f>"06/05/2013"</f>
        <v>06/05/2013</v>
      </c>
      <c r="B3301">
        <v>1</v>
      </c>
      <c r="C3301">
        <v>38000</v>
      </c>
      <c r="D3301">
        <v>58750</v>
      </c>
      <c r="E3301">
        <v>38000</v>
      </c>
      <c r="F3301">
        <v>38000</v>
      </c>
      <c r="G3301" s="1">
        <v>1.7500000000000002E-2</v>
      </c>
      <c r="H3301" s="1">
        <v>1.7500000000000002E-2</v>
      </c>
      <c r="I3301" s="1">
        <v>1.7500000000000002E-2</v>
      </c>
      <c r="J3301" s="1">
        <v>0.48770000000000002</v>
      </c>
    </row>
    <row r="3302" spans="1:10" x14ac:dyDescent="0.2">
      <c r="A3302" t="str">
        <f>"05/05/2013"</f>
        <v>05/05/2013</v>
      </c>
      <c r="B3302">
        <v>1</v>
      </c>
      <c r="C3302">
        <v>37000</v>
      </c>
      <c r="D3302">
        <v>62223</v>
      </c>
      <c r="E3302">
        <v>37000</v>
      </c>
      <c r="F3302">
        <v>37000</v>
      </c>
      <c r="G3302" s="1">
        <v>1.7500000000000002E-2</v>
      </c>
      <c r="H3302" s="1">
        <v>1.7500000000000002E-2</v>
      </c>
      <c r="I3302" s="1">
        <v>1.7500000000000002E-2</v>
      </c>
      <c r="J3302" s="1">
        <v>0.43719999999999998</v>
      </c>
    </row>
    <row r="3303" spans="1:10" x14ac:dyDescent="0.2">
      <c r="A3303" t="str">
        <f>"02/05/2013"</f>
        <v>02/05/2013</v>
      </c>
      <c r="B3303">
        <v>3</v>
      </c>
      <c r="C3303">
        <v>37000</v>
      </c>
      <c r="D3303">
        <v>63550</v>
      </c>
      <c r="E3303">
        <v>37000</v>
      </c>
      <c r="F3303">
        <v>37000</v>
      </c>
      <c r="G3303" s="1">
        <v>1.7500000000000002E-2</v>
      </c>
      <c r="H3303" s="1">
        <v>1.7500000000000002E-2</v>
      </c>
      <c r="I3303" s="1">
        <v>1.7500000000000002E-2</v>
      </c>
      <c r="J3303" s="1">
        <v>0.42899999999999999</v>
      </c>
    </row>
    <row r="3304" spans="1:10" x14ac:dyDescent="0.2">
      <c r="A3304" t="str">
        <f>"01/05/2013"</f>
        <v>01/05/2013</v>
      </c>
      <c r="B3304">
        <v>1</v>
      </c>
      <c r="C3304">
        <v>35000</v>
      </c>
      <c r="D3304">
        <v>63690</v>
      </c>
      <c r="E3304">
        <v>35000</v>
      </c>
      <c r="F3304">
        <v>35000</v>
      </c>
      <c r="G3304" s="1">
        <v>1.7500000000000002E-2</v>
      </c>
      <c r="H3304" s="1">
        <v>1.7500000000000002E-2</v>
      </c>
      <c r="I3304" s="1">
        <v>1.7500000000000002E-2</v>
      </c>
      <c r="J3304" s="1">
        <v>0.38600000000000001</v>
      </c>
    </row>
    <row r="3305" spans="1:10" x14ac:dyDescent="0.2">
      <c r="A3305" t="str">
        <f>"30/04/2013"</f>
        <v>30/04/2013</v>
      </c>
      <c r="B3305">
        <v>1</v>
      </c>
      <c r="C3305">
        <v>28000</v>
      </c>
      <c r="D3305">
        <v>53510</v>
      </c>
      <c r="E3305">
        <v>28000</v>
      </c>
      <c r="F3305">
        <v>28000</v>
      </c>
      <c r="G3305" s="1">
        <v>1.7500000000000002E-2</v>
      </c>
      <c r="H3305" s="1">
        <v>1.7500000000000002E-2</v>
      </c>
      <c r="I3305" s="1">
        <v>1.7500000000000002E-2</v>
      </c>
      <c r="J3305" s="1">
        <v>0.35449999999999998</v>
      </c>
    </row>
    <row r="3306" spans="1:10" x14ac:dyDescent="0.2">
      <c r="A3306" t="str">
        <f>"29/04/2013"</f>
        <v>29/04/2013</v>
      </c>
      <c r="B3306">
        <v>1</v>
      </c>
      <c r="C3306">
        <v>28000</v>
      </c>
      <c r="D3306">
        <v>43341</v>
      </c>
      <c r="E3306">
        <v>28000</v>
      </c>
      <c r="F3306">
        <v>28000</v>
      </c>
      <c r="G3306" s="1">
        <v>1.7500000000000002E-2</v>
      </c>
      <c r="H3306" s="1">
        <v>1.7399999999999999E-2</v>
      </c>
      <c r="I3306" s="1">
        <v>1.7399999999999999E-2</v>
      </c>
      <c r="J3306" s="1">
        <v>0.47339999999999999</v>
      </c>
    </row>
    <row r="3307" spans="1:10" x14ac:dyDescent="0.2">
      <c r="A3307" t="str">
        <f>"28/04/2013"</f>
        <v>28/04/2013</v>
      </c>
      <c r="B3307">
        <v>1</v>
      </c>
      <c r="C3307">
        <v>28000</v>
      </c>
      <c r="D3307">
        <v>39044</v>
      </c>
      <c r="E3307">
        <v>28000</v>
      </c>
      <c r="F3307">
        <v>28000</v>
      </c>
      <c r="G3307" s="1">
        <v>1.7500000000000002E-2</v>
      </c>
      <c r="H3307" s="1">
        <v>1.7500000000000002E-2</v>
      </c>
      <c r="I3307" s="1">
        <v>1.7500000000000002E-2</v>
      </c>
      <c r="J3307" s="1">
        <v>0.59299999999999997</v>
      </c>
    </row>
    <row r="3308" spans="1:10" x14ac:dyDescent="0.2">
      <c r="A3308" t="str">
        <f>"25/04/2013"</f>
        <v>25/04/2013</v>
      </c>
      <c r="B3308">
        <v>3</v>
      </c>
      <c r="C3308">
        <v>28000</v>
      </c>
      <c r="D3308">
        <v>32615</v>
      </c>
      <c r="E3308">
        <v>28000</v>
      </c>
      <c r="F3308">
        <v>28000</v>
      </c>
      <c r="G3308" s="1">
        <v>1.7500000000000002E-2</v>
      </c>
      <c r="H3308" s="1">
        <v>1.7500000000000002E-2</v>
      </c>
      <c r="I3308" s="1">
        <v>1.7500000000000002E-2</v>
      </c>
      <c r="J3308" s="1">
        <v>0.77739999999999998</v>
      </c>
    </row>
    <row r="3309" spans="1:10" x14ac:dyDescent="0.2">
      <c r="A3309" t="str">
        <f>"24/04/2013"</f>
        <v>24/04/2013</v>
      </c>
      <c r="B3309">
        <v>1</v>
      </c>
      <c r="C3309">
        <v>26000</v>
      </c>
      <c r="D3309">
        <v>23504</v>
      </c>
      <c r="E3309">
        <v>23504</v>
      </c>
      <c r="F3309">
        <v>23504</v>
      </c>
      <c r="G3309" s="1">
        <v>1.7500000000000002E-2</v>
      </c>
      <c r="H3309" s="1">
        <v>1.7399999999999999E-2</v>
      </c>
      <c r="I3309" s="1">
        <v>1.7399999999999999E-2</v>
      </c>
      <c r="J3309" s="1">
        <v>1</v>
      </c>
    </row>
    <row r="3310" spans="1:10" x14ac:dyDescent="0.2">
      <c r="A3310" t="str">
        <f>"23/04/2013"</f>
        <v>23/04/2013</v>
      </c>
      <c r="B3310">
        <v>1</v>
      </c>
      <c r="C3310">
        <v>27000</v>
      </c>
      <c r="D3310">
        <v>45709</v>
      </c>
      <c r="E3310">
        <v>27000</v>
      </c>
      <c r="F3310">
        <v>27000</v>
      </c>
      <c r="G3310" s="1">
        <v>1.7500000000000002E-2</v>
      </c>
      <c r="H3310" s="1">
        <v>1.7399999999999999E-2</v>
      </c>
      <c r="I3310" s="1">
        <v>1.7399999999999999E-2</v>
      </c>
      <c r="J3310" s="1">
        <v>0.30709999999999998</v>
      </c>
    </row>
    <row r="3311" spans="1:10" x14ac:dyDescent="0.2">
      <c r="A3311" t="str">
        <f>"22/04/2013"</f>
        <v>22/04/2013</v>
      </c>
      <c r="B3311">
        <v>1</v>
      </c>
      <c r="C3311">
        <v>28000</v>
      </c>
      <c r="D3311">
        <v>50315</v>
      </c>
      <c r="E3311">
        <v>28000</v>
      </c>
      <c r="F3311">
        <v>28000</v>
      </c>
      <c r="G3311" s="1">
        <v>1.7500000000000002E-2</v>
      </c>
      <c r="H3311" s="1">
        <v>1.7399999999999999E-2</v>
      </c>
      <c r="I3311" s="1">
        <v>1.7399999999999999E-2</v>
      </c>
      <c r="J3311" s="1">
        <v>0.20300000000000001</v>
      </c>
    </row>
    <row r="3312" spans="1:10" x14ac:dyDescent="0.2">
      <c r="A3312" t="str">
        <f>"21/04/2013"</f>
        <v>21/04/2013</v>
      </c>
      <c r="B3312">
        <v>1</v>
      </c>
      <c r="C3312">
        <v>26000</v>
      </c>
      <c r="D3312">
        <v>52548</v>
      </c>
      <c r="E3312">
        <v>26000</v>
      </c>
      <c r="F3312">
        <v>26000</v>
      </c>
      <c r="G3312" s="1">
        <v>1.7500000000000002E-2</v>
      </c>
      <c r="H3312" s="1">
        <v>1.7399999999999999E-2</v>
      </c>
      <c r="I3312" s="1">
        <v>1.7399999999999999E-2</v>
      </c>
      <c r="J3312" s="1">
        <v>0.19789999999999999</v>
      </c>
    </row>
    <row r="3313" spans="1:10" x14ac:dyDescent="0.2">
      <c r="A3313" t="str">
        <f>"18/04/2013"</f>
        <v>18/04/2013</v>
      </c>
      <c r="B3313">
        <v>3</v>
      </c>
      <c r="C3313">
        <v>25000</v>
      </c>
      <c r="D3313">
        <v>49140</v>
      </c>
      <c r="E3313">
        <v>25000</v>
      </c>
      <c r="F3313">
        <v>25000</v>
      </c>
      <c r="G3313" s="1">
        <v>1.7500000000000002E-2</v>
      </c>
      <c r="H3313" s="1">
        <v>1.7399999999999999E-2</v>
      </c>
      <c r="I3313" s="1">
        <v>1.7399999999999999E-2</v>
      </c>
      <c r="J3313" s="1">
        <v>0.2205</v>
      </c>
    </row>
    <row r="3314" spans="1:10" x14ac:dyDescent="0.2">
      <c r="A3314" t="str">
        <f>"18/04/2013"</f>
        <v>18/04/2013</v>
      </c>
      <c r="B3314">
        <v>1</v>
      </c>
      <c r="C3314">
        <v>8000</v>
      </c>
      <c r="D3314">
        <v>3275</v>
      </c>
      <c r="E3314">
        <v>3275</v>
      </c>
      <c r="F3314">
        <v>3275</v>
      </c>
      <c r="G3314" s="1">
        <v>1.7500000000000002E-2</v>
      </c>
      <c r="H3314" s="1">
        <v>1.7399999999999999E-2</v>
      </c>
      <c r="I3314" s="1">
        <v>1.7399999999999999E-2</v>
      </c>
      <c r="J3314" s="1">
        <v>1</v>
      </c>
    </row>
    <row r="3315" spans="1:10" x14ac:dyDescent="0.2">
      <c r="A3315" t="str">
        <f>"17/04/2013"</f>
        <v>17/04/2013</v>
      </c>
      <c r="B3315">
        <v>1</v>
      </c>
      <c r="C3315">
        <v>34000</v>
      </c>
      <c r="D3315">
        <v>69596</v>
      </c>
      <c r="E3315">
        <v>34000</v>
      </c>
      <c r="F3315">
        <v>34000</v>
      </c>
      <c r="G3315" s="1">
        <v>1.7500000000000002E-2</v>
      </c>
      <c r="H3315" s="1">
        <v>1.7399999999999999E-2</v>
      </c>
      <c r="I3315" s="1">
        <v>1.7399999999999999E-2</v>
      </c>
      <c r="J3315" s="1">
        <v>0.31730000000000003</v>
      </c>
    </row>
    <row r="3316" spans="1:10" x14ac:dyDescent="0.2">
      <c r="A3316" t="str">
        <f>"14/04/2013"</f>
        <v>14/04/2013</v>
      </c>
      <c r="B3316">
        <v>3</v>
      </c>
      <c r="C3316">
        <v>33000</v>
      </c>
      <c r="D3316">
        <v>56540</v>
      </c>
      <c r="E3316">
        <v>33000</v>
      </c>
      <c r="F3316">
        <v>33000</v>
      </c>
      <c r="G3316" s="1">
        <v>1.7500000000000002E-2</v>
      </c>
      <c r="H3316" s="1">
        <v>1.7500000000000002E-2</v>
      </c>
      <c r="I3316" s="1">
        <v>1.7500000000000002E-2</v>
      </c>
      <c r="J3316" s="1">
        <v>0.43680000000000002</v>
      </c>
    </row>
    <row r="3317" spans="1:10" x14ac:dyDescent="0.2">
      <c r="A3317" t="str">
        <f>"11/04/2013"</f>
        <v>11/04/2013</v>
      </c>
      <c r="B3317">
        <v>3</v>
      </c>
      <c r="C3317">
        <v>33000</v>
      </c>
      <c r="D3317">
        <v>50594</v>
      </c>
      <c r="E3317">
        <v>33000</v>
      </c>
      <c r="F3317">
        <v>33000</v>
      </c>
      <c r="G3317" s="1">
        <v>1.7500000000000002E-2</v>
      </c>
      <c r="H3317" s="1">
        <v>1.7500000000000002E-2</v>
      </c>
      <c r="I3317" s="1">
        <v>1.7500000000000002E-2</v>
      </c>
      <c r="J3317" s="1">
        <v>0.51529999999999998</v>
      </c>
    </row>
    <row r="3318" spans="1:10" x14ac:dyDescent="0.2">
      <c r="A3318" t="str">
        <f>"10/04/2013"</f>
        <v>10/04/2013</v>
      </c>
      <c r="B3318">
        <v>1</v>
      </c>
      <c r="C3318">
        <v>34000</v>
      </c>
      <c r="D3318">
        <v>47232</v>
      </c>
      <c r="E3318">
        <v>34000</v>
      </c>
      <c r="F3318">
        <v>34000</v>
      </c>
      <c r="G3318" s="1">
        <v>1.7500000000000002E-2</v>
      </c>
      <c r="H3318" s="1">
        <v>1.7500000000000002E-2</v>
      </c>
      <c r="I3318" s="1">
        <v>1.7500000000000002E-2</v>
      </c>
      <c r="J3318" s="1">
        <v>0.5786</v>
      </c>
    </row>
    <row r="3319" spans="1:10" x14ac:dyDescent="0.2">
      <c r="A3319" t="str">
        <f>"09/04/2013"</f>
        <v>09/04/2013</v>
      </c>
      <c r="B3319">
        <v>1</v>
      </c>
      <c r="C3319">
        <v>34000</v>
      </c>
      <c r="D3319">
        <v>53597</v>
      </c>
      <c r="E3319">
        <v>34000</v>
      </c>
      <c r="F3319">
        <v>34000</v>
      </c>
      <c r="G3319" s="1">
        <v>1.7500000000000002E-2</v>
      </c>
      <c r="H3319" s="1">
        <v>1.7500000000000002E-2</v>
      </c>
      <c r="I3319" s="1">
        <v>1.7500000000000002E-2</v>
      </c>
      <c r="J3319" s="1">
        <v>0.50119999999999998</v>
      </c>
    </row>
    <row r="3320" spans="1:10" x14ac:dyDescent="0.2">
      <c r="A3320" t="str">
        <f>"08/04/2013"</f>
        <v>08/04/2013</v>
      </c>
      <c r="B3320">
        <v>1</v>
      </c>
      <c r="C3320">
        <v>35000</v>
      </c>
      <c r="D3320">
        <v>55481</v>
      </c>
      <c r="E3320">
        <v>35000</v>
      </c>
      <c r="F3320">
        <v>35000</v>
      </c>
      <c r="G3320" s="1">
        <v>1.7500000000000002E-2</v>
      </c>
      <c r="H3320" s="1">
        <v>1.7500000000000002E-2</v>
      </c>
      <c r="I3320" s="1">
        <v>1.7500000000000002E-2</v>
      </c>
      <c r="J3320" s="1">
        <v>0.50939999999999996</v>
      </c>
    </row>
    <row r="3321" spans="1:10" x14ac:dyDescent="0.2">
      <c r="A3321" t="str">
        <f>"07/04/2013"</f>
        <v>07/04/2013</v>
      </c>
      <c r="B3321">
        <v>1</v>
      </c>
      <c r="C3321">
        <v>34000</v>
      </c>
      <c r="D3321">
        <v>53782</v>
      </c>
      <c r="E3321">
        <v>34000</v>
      </c>
      <c r="F3321">
        <v>34000</v>
      </c>
      <c r="G3321" s="1">
        <v>1.7500000000000002E-2</v>
      </c>
      <c r="H3321" s="1">
        <v>1.7500000000000002E-2</v>
      </c>
      <c r="I3321" s="1">
        <v>1.7500000000000002E-2</v>
      </c>
      <c r="J3321" s="1">
        <v>0.51870000000000005</v>
      </c>
    </row>
    <row r="3322" spans="1:10" x14ac:dyDescent="0.2">
      <c r="A3322" t="str">
        <f>"04/04/2013"</f>
        <v>04/04/2013</v>
      </c>
      <c r="B3322">
        <v>3</v>
      </c>
      <c r="C3322">
        <v>33000</v>
      </c>
      <c r="D3322">
        <v>49795</v>
      </c>
      <c r="E3322">
        <v>33000</v>
      </c>
      <c r="F3322">
        <v>33000</v>
      </c>
      <c r="G3322" s="1">
        <v>1.7500000000000002E-2</v>
      </c>
      <c r="H3322" s="1">
        <v>1.7500000000000002E-2</v>
      </c>
      <c r="I3322" s="1">
        <v>1.7500000000000002E-2</v>
      </c>
      <c r="J3322" s="1">
        <v>0.55330000000000001</v>
      </c>
    </row>
    <row r="3323" spans="1:10" x14ac:dyDescent="0.2">
      <c r="A3323" t="str">
        <f>"03/04/2013"</f>
        <v>03/04/2013</v>
      </c>
      <c r="B3323">
        <v>1</v>
      </c>
      <c r="C3323">
        <v>33000</v>
      </c>
      <c r="D3323">
        <v>50252</v>
      </c>
      <c r="E3323">
        <v>33000</v>
      </c>
      <c r="F3323">
        <v>33000</v>
      </c>
      <c r="G3323" s="1">
        <v>1.7500000000000002E-2</v>
      </c>
      <c r="H3323" s="1">
        <v>1.7500000000000002E-2</v>
      </c>
      <c r="I3323" s="1">
        <v>1.7500000000000002E-2</v>
      </c>
      <c r="J3323" s="1">
        <v>0.56559999999999999</v>
      </c>
    </row>
    <row r="3324" spans="1:10" x14ac:dyDescent="0.2">
      <c r="A3324" t="str">
        <f>"02/04/2013"</f>
        <v>02/04/2013</v>
      </c>
      <c r="B3324">
        <v>1</v>
      </c>
      <c r="C3324">
        <v>37000</v>
      </c>
      <c r="D3324">
        <v>44935</v>
      </c>
      <c r="E3324">
        <v>37000</v>
      </c>
      <c r="F3324">
        <v>37000</v>
      </c>
      <c r="G3324" s="1">
        <v>1.7500000000000002E-2</v>
      </c>
      <c r="H3324" s="1">
        <v>1.7500000000000002E-2</v>
      </c>
      <c r="I3324" s="1">
        <v>1.7500000000000002E-2</v>
      </c>
      <c r="J3324" s="1">
        <v>0.76819999999999999</v>
      </c>
    </row>
    <row r="3325" spans="1:10" x14ac:dyDescent="0.2">
      <c r="A3325" t="str">
        <f>"28/03/2013"</f>
        <v>28/03/2013</v>
      </c>
      <c r="B3325">
        <v>5</v>
      </c>
      <c r="C3325">
        <v>27000</v>
      </c>
      <c r="D3325">
        <v>30210</v>
      </c>
      <c r="E3325">
        <v>27000</v>
      </c>
      <c r="F3325">
        <v>27000</v>
      </c>
      <c r="G3325" s="1">
        <v>1.7500000000000002E-2</v>
      </c>
      <c r="H3325" s="1">
        <v>1.7500000000000002E-2</v>
      </c>
      <c r="I3325" s="1">
        <v>1.7500000000000002E-2</v>
      </c>
      <c r="J3325" s="1">
        <v>0.82789999999999997</v>
      </c>
    </row>
    <row r="3326" spans="1:10" x14ac:dyDescent="0.2">
      <c r="A3326" t="str">
        <f>"27/03/2013"</f>
        <v>27/03/2013</v>
      </c>
      <c r="B3326">
        <v>1</v>
      </c>
      <c r="C3326">
        <v>25000</v>
      </c>
      <c r="D3326">
        <v>24850</v>
      </c>
      <c r="E3326">
        <v>24850</v>
      </c>
      <c r="F3326">
        <v>24850</v>
      </c>
      <c r="G3326" s="1">
        <v>1.7500000000000002E-2</v>
      </c>
      <c r="H3326" s="1">
        <v>1.7399999999999999E-2</v>
      </c>
      <c r="I3326" s="1">
        <v>1.7399999999999999E-2</v>
      </c>
      <c r="J3326" s="1">
        <v>1</v>
      </c>
    </row>
    <row r="3327" spans="1:10" x14ac:dyDescent="0.2">
      <c r="A3327" t="str">
        <f>"24/03/2013"</f>
        <v>24/03/2013</v>
      </c>
      <c r="B3327">
        <v>3</v>
      </c>
      <c r="C3327">
        <v>19000</v>
      </c>
      <c r="D3327">
        <v>17772</v>
      </c>
      <c r="E3327">
        <v>17772</v>
      </c>
      <c r="F3327">
        <v>17772</v>
      </c>
      <c r="G3327" s="1">
        <v>1.7500000000000002E-2</v>
      </c>
      <c r="H3327" s="1">
        <v>1.7399999999999999E-2</v>
      </c>
      <c r="I3327" s="1">
        <v>1.7399999999999999E-2</v>
      </c>
      <c r="J3327" s="1">
        <v>1</v>
      </c>
    </row>
    <row r="3328" spans="1:10" x14ac:dyDescent="0.2">
      <c r="A3328" t="str">
        <f>"21/03/2013"</f>
        <v>21/03/2013</v>
      </c>
      <c r="B3328">
        <v>3</v>
      </c>
      <c r="C3328">
        <v>21000</v>
      </c>
      <c r="D3328">
        <v>41874</v>
      </c>
      <c r="E3328">
        <v>21000</v>
      </c>
      <c r="F3328">
        <v>21000</v>
      </c>
      <c r="G3328" s="1">
        <v>1.7500000000000002E-2</v>
      </c>
      <c r="H3328" s="1">
        <v>1.7399999999999999E-2</v>
      </c>
      <c r="I3328" s="1">
        <v>1.7399999999999999E-2</v>
      </c>
      <c r="J3328" s="1">
        <v>0.30330000000000001</v>
      </c>
    </row>
    <row r="3329" spans="1:10" x14ac:dyDescent="0.2">
      <c r="A3329" t="str">
        <f>"20/03/2013"</f>
        <v>20/03/2013</v>
      </c>
      <c r="B3329">
        <v>1</v>
      </c>
      <c r="C3329">
        <v>19000</v>
      </c>
      <c r="D3329">
        <v>39986</v>
      </c>
      <c r="E3329">
        <v>19000</v>
      </c>
      <c r="F3329">
        <v>19000</v>
      </c>
      <c r="G3329" s="1">
        <v>1.7500000000000002E-2</v>
      </c>
      <c r="H3329" s="1">
        <v>1.7399999999999999E-2</v>
      </c>
      <c r="I3329" s="1">
        <v>1.7399999999999999E-2</v>
      </c>
      <c r="J3329" s="1">
        <v>0.29170000000000001</v>
      </c>
    </row>
    <row r="3330" spans="1:10" x14ac:dyDescent="0.2">
      <c r="A3330" t="str">
        <f>"19/03/2013"</f>
        <v>19/03/2013</v>
      </c>
      <c r="B3330">
        <v>1</v>
      </c>
      <c r="C3330">
        <v>20000</v>
      </c>
      <c r="D3330">
        <v>41474</v>
      </c>
      <c r="E3330">
        <v>20000</v>
      </c>
      <c r="F3330">
        <v>20000</v>
      </c>
      <c r="G3330" s="1">
        <v>1.7500000000000002E-2</v>
      </c>
      <c r="H3330" s="1">
        <v>1.7500000000000002E-2</v>
      </c>
      <c r="I3330" s="1">
        <v>1.7500000000000002E-2</v>
      </c>
      <c r="J3330" s="1">
        <v>0.31979999999999997</v>
      </c>
    </row>
    <row r="3331" spans="1:10" x14ac:dyDescent="0.2">
      <c r="A3331" t="str">
        <f>"18/03/2013"</f>
        <v>18/03/2013</v>
      </c>
      <c r="B3331">
        <v>1</v>
      </c>
      <c r="C3331">
        <v>22000</v>
      </c>
      <c r="D3331">
        <v>45925</v>
      </c>
      <c r="E3331">
        <v>22000</v>
      </c>
      <c r="F3331">
        <v>22000</v>
      </c>
      <c r="G3331" s="1">
        <v>1.7500000000000002E-2</v>
      </c>
      <c r="H3331" s="1">
        <v>1.7399999999999999E-2</v>
      </c>
      <c r="I3331" s="1">
        <v>1.7399999999999999E-2</v>
      </c>
      <c r="J3331" s="1">
        <v>0.30549999999999999</v>
      </c>
    </row>
    <row r="3332" spans="1:10" x14ac:dyDescent="0.2">
      <c r="A3332" t="str">
        <f>"17/03/2013"</f>
        <v>17/03/2013</v>
      </c>
      <c r="B3332">
        <v>1</v>
      </c>
      <c r="C3332">
        <v>22000</v>
      </c>
      <c r="D3332">
        <v>46191</v>
      </c>
      <c r="E3332">
        <v>22000</v>
      </c>
      <c r="F3332">
        <v>22000</v>
      </c>
      <c r="G3332" s="1">
        <v>1.7500000000000002E-2</v>
      </c>
      <c r="H3332" s="1">
        <v>1.7399999999999999E-2</v>
      </c>
      <c r="I3332" s="1">
        <v>1.7399999999999999E-2</v>
      </c>
      <c r="J3332" s="1">
        <v>0.31140000000000001</v>
      </c>
    </row>
    <row r="3333" spans="1:10" x14ac:dyDescent="0.2">
      <c r="A3333" t="str">
        <f>"14/03/2013"</f>
        <v>14/03/2013</v>
      </c>
      <c r="B3333">
        <v>3</v>
      </c>
      <c r="C3333">
        <v>33000</v>
      </c>
      <c r="D3333">
        <v>74445</v>
      </c>
      <c r="E3333">
        <v>33000</v>
      </c>
      <c r="F3333">
        <v>33000</v>
      </c>
      <c r="G3333" s="1">
        <v>1.7500000000000002E-2</v>
      </c>
      <c r="H3333" s="1">
        <v>1.7500000000000002E-2</v>
      </c>
      <c r="I3333" s="1">
        <v>1.7500000000000002E-2</v>
      </c>
      <c r="J3333" s="1">
        <v>0.32169999999999999</v>
      </c>
    </row>
    <row r="3334" spans="1:10" x14ac:dyDescent="0.2">
      <c r="A3334" t="str">
        <f>"13/03/2013"</f>
        <v>13/03/2013</v>
      </c>
      <c r="B3334">
        <v>1</v>
      </c>
      <c r="C3334">
        <v>29000</v>
      </c>
      <c r="D3334">
        <v>60467</v>
      </c>
      <c r="E3334">
        <v>29000</v>
      </c>
      <c r="F3334">
        <v>29000</v>
      </c>
      <c r="G3334" s="1">
        <v>1.7500000000000002E-2</v>
      </c>
      <c r="H3334" s="1">
        <v>1.7500000000000002E-2</v>
      </c>
      <c r="I3334" s="1">
        <v>1.7500000000000002E-2</v>
      </c>
      <c r="J3334" s="1">
        <v>0.33050000000000002</v>
      </c>
    </row>
    <row r="3335" spans="1:10" x14ac:dyDescent="0.2">
      <c r="A3335" t="str">
        <f>"12/03/2013"</f>
        <v>12/03/2013</v>
      </c>
      <c r="B3335">
        <v>1</v>
      </c>
      <c r="C3335">
        <v>29000</v>
      </c>
      <c r="D3335">
        <v>67177</v>
      </c>
      <c r="E3335">
        <v>29000</v>
      </c>
      <c r="F3335">
        <v>29000</v>
      </c>
      <c r="G3335" s="1">
        <v>1.7500000000000002E-2</v>
      </c>
      <c r="H3335" s="1">
        <v>1.7500000000000002E-2</v>
      </c>
      <c r="I3335" s="1">
        <v>1.7500000000000002E-2</v>
      </c>
      <c r="J3335" s="1">
        <v>0.2757</v>
      </c>
    </row>
    <row r="3336" spans="1:10" x14ac:dyDescent="0.2">
      <c r="A3336" t="str">
        <f>"11/03/2013"</f>
        <v>11/03/2013</v>
      </c>
      <c r="B3336">
        <v>1</v>
      </c>
      <c r="C3336">
        <v>31000</v>
      </c>
      <c r="D3336">
        <v>75553</v>
      </c>
      <c r="E3336">
        <v>31000</v>
      </c>
      <c r="F3336">
        <v>31000</v>
      </c>
      <c r="G3336" s="1">
        <v>1.7500000000000002E-2</v>
      </c>
      <c r="H3336" s="1">
        <v>1.7500000000000002E-2</v>
      </c>
      <c r="I3336" s="1">
        <v>1.7500000000000002E-2</v>
      </c>
      <c r="J3336" s="1">
        <v>0.2611</v>
      </c>
    </row>
    <row r="3337" spans="1:10" x14ac:dyDescent="0.2">
      <c r="A3337" t="str">
        <f>"10/03/2013"</f>
        <v>10/03/2013</v>
      </c>
      <c r="B3337">
        <v>1</v>
      </c>
      <c r="C3337">
        <v>31000</v>
      </c>
      <c r="D3337">
        <v>82729</v>
      </c>
      <c r="E3337">
        <v>31000</v>
      </c>
      <c r="F3337">
        <v>31000</v>
      </c>
      <c r="G3337" s="1">
        <v>1.7500000000000002E-2</v>
      </c>
      <c r="H3337" s="1">
        <v>1.7500000000000002E-2</v>
      </c>
      <c r="I3337" s="1">
        <v>1.7500000000000002E-2</v>
      </c>
      <c r="J3337" s="1">
        <v>0.25</v>
      </c>
    </row>
    <row r="3338" spans="1:10" x14ac:dyDescent="0.2">
      <c r="A3338" t="str">
        <f>"07/03/2013"</f>
        <v>07/03/2013</v>
      </c>
      <c r="B3338">
        <v>3</v>
      </c>
      <c r="C3338">
        <v>31000</v>
      </c>
      <c r="D3338">
        <v>71447</v>
      </c>
      <c r="E3338">
        <v>31000</v>
      </c>
      <c r="F3338">
        <v>31000</v>
      </c>
      <c r="G3338" s="1">
        <v>1.7500000000000002E-2</v>
      </c>
      <c r="H3338" s="1">
        <v>1.7500000000000002E-2</v>
      </c>
      <c r="I3338" s="1">
        <v>1.7500000000000002E-2</v>
      </c>
      <c r="J3338" s="1">
        <v>0.28160000000000002</v>
      </c>
    </row>
    <row r="3339" spans="1:10" x14ac:dyDescent="0.2">
      <c r="A3339" t="str">
        <f>"06/03/2013"</f>
        <v>06/03/2013</v>
      </c>
      <c r="B3339">
        <v>1</v>
      </c>
      <c r="C3339">
        <v>31000</v>
      </c>
      <c r="D3339">
        <v>81831</v>
      </c>
      <c r="E3339">
        <v>31000</v>
      </c>
      <c r="F3339">
        <v>31000</v>
      </c>
      <c r="G3339" s="1">
        <v>1.7500000000000002E-2</v>
      </c>
      <c r="H3339" s="1">
        <v>1.7399999999999999E-2</v>
      </c>
      <c r="I3339" s="1">
        <v>1.7399999999999999E-2</v>
      </c>
      <c r="J3339" s="1">
        <v>0.19370000000000001</v>
      </c>
    </row>
    <row r="3340" spans="1:10" x14ac:dyDescent="0.2">
      <c r="A3340" t="str">
        <f>"05/03/2013"</f>
        <v>05/03/2013</v>
      </c>
      <c r="B3340">
        <v>1</v>
      </c>
      <c r="C3340">
        <v>31000</v>
      </c>
      <c r="D3340">
        <v>76032</v>
      </c>
      <c r="E3340">
        <v>31000</v>
      </c>
      <c r="F3340">
        <v>31000</v>
      </c>
      <c r="G3340" s="1">
        <v>1.7500000000000002E-2</v>
      </c>
      <c r="H3340" s="1">
        <v>1.7399999999999999E-2</v>
      </c>
      <c r="I3340" s="1">
        <v>1.7399999999999999E-2</v>
      </c>
      <c r="J3340" s="1">
        <v>0.21460000000000001</v>
      </c>
    </row>
    <row r="3341" spans="1:10" x14ac:dyDescent="0.2">
      <c r="A3341" t="str">
        <f>"04/03/2013"</f>
        <v>04/03/2013</v>
      </c>
      <c r="B3341">
        <v>1</v>
      </c>
      <c r="C3341">
        <v>33000</v>
      </c>
      <c r="D3341">
        <v>64213</v>
      </c>
      <c r="E3341">
        <v>33000</v>
      </c>
      <c r="F3341">
        <v>33000</v>
      </c>
      <c r="G3341" s="1">
        <v>1.7500000000000002E-2</v>
      </c>
      <c r="H3341" s="1">
        <v>1.7399999999999999E-2</v>
      </c>
      <c r="I3341" s="1">
        <v>1.7399999999999999E-2</v>
      </c>
      <c r="J3341" s="1">
        <v>0.33160000000000001</v>
      </c>
    </row>
    <row r="3342" spans="1:10" x14ac:dyDescent="0.2">
      <c r="A3342" t="str">
        <f>"03/03/2013"</f>
        <v>03/03/2013</v>
      </c>
      <c r="B3342">
        <v>1</v>
      </c>
      <c r="C3342">
        <v>32000</v>
      </c>
      <c r="D3342">
        <v>52157</v>
      </c>
      <c r="E3342">
        <v>32000</v>
      </c>
      <c r="F3342">
        <v>32000</v>
      </c>
      <c r="G3342" s="1">
        <v>1.7500000000000002E-2</v>
      </c>
      <c r="H3342" s="1">
        <v>1.7500000000000002E-2</v>
      </c>
      <c r="I3342" s="1">
        <v>1.7500000000000002E-2</v>
      </c>
      <c r="J3342" s="1">
        <v>0.47089999999999999</v>
      </c>
    </row>
    <row r="3343" spans="1:10" x14ac:dyDescent="0.2">
      <c r="A3343" t="str">
        <f>"28/02/2013"</f>
        <v>28/02/2013</v>
      </c>
      <c r="B3343">
        <v>3</v>
      </c>
      <c r="C3343">
        <v>28000</v>
      </c>
      <c r="D3343">
        <v>35212</v>
      </c>
      <c r="E3343">
        <v>28000</v>
      </c>
      <c r="F3343">
        <v>28000</v>
      </c>
      <c r="G3343" s="1">
        <v>1.7500000000000002E-2</v>
      </c>
      <c r="H3343" s="1">
        <v>1.7500000000000002E-2</v>
      </c>
      <c r="I3343" s="1">
        <v>1.7500000000000002E-2</v>
      </c>
      <c r="J3343" s="1">
        <v>0.69730000000000003</v>
      </c>
    </row>
    <row r="3344" spans="1:10" x14ac:dyDescent="0.2">
      <c r="A3344" t="str">
        <f>"27/02/2013"</f>
        <v>27/02/2013</v>
      </c>
      <c r="B3344">
        <v>1</v>
      </c>
      <c r="C3344">
        <v>23000</v>
      </c>
      <c r="D3344">
        <v>21408</v>
      </c>
      <c r="E3344">
        <v>21408</v>
      </c>
      <c r="F3344">
        <v>21408</v>
      </c>
      <c r="G3344" s="1">
        <v>1.7500000000000002E-2</v>
      </c>
      <c r="H3344" s="1">
        <v>1.7399999999999999E-2</v>
      </c>
      <c r="I3344" s="1">
        <v>1.7399999999999999E-2</v>
      </c>
      <c r="J3344" s="1">
        <v>1</v>
      </c>
    </row>
    <row r="3345" spans="1:10" x14ac:dyDescent="0.2">
      <c r="A3345" t="str">
        <f>"26/02/2013"</f>
        <v>26/02/2013</v>
      </c>
      <c r="B3345">
        <v>1</v>
      </c>
      <c r="C3345">
        <v>23000</v>
      </c>
      <c r="D3345">
        <v>43433</v>
      </c>
      <c r="E3345">
        <v>23000</v>
      </c>
      <c r="F3345">
        <v>23000</v>
      </c>
      <c r="G3345" s="1">
        <v>1.7500000000000002E-2</v>
      </c>
      <c r="H3345" s="1">
        <v>1.7399999999999999E-2</v>
      </c>
      <c r="I3345" s="1">
        <v>1.7399999999999999E-2</v>
      </c>
      <c r="J3345" s="1">
        <v>0.2954</v>
      </c>
    </row>
    <row r="3346" spans="1:10" x14ac:dyDescent="0.2">
      <c r="A3346" t="str">
        <f>"25/02/2013"</f>
        <v>25/02/2013</v>
      </c>
      <c r="B3346">
        <v>1</v>
      </c>
      <c r="C3346">
        <v>24000</v>
      </c>
      <c r="D3346">
        <v>45957</v>
      </c>
      <c r="E3346">
        <v>24000</v>
      </c>
      <c r="F3346">
        <v>24000</v>
      </c>
      <c r="G3346" s="1">
        <v>1.7500000000000002E-2</v>
      </c>
      <c r="H3346" s="1">
        <v>1.7399999999999999E-2</v>
      </c>
      <c r="I3346" s="1">
        <v>1.7399999999999999E-2</v>
      </c>
      <c r="J3346" s="1">
        <v>0.2681</v>
      </c>
    </row>
    <row r="3347" spans="1:10" x14ac:dyDescent="0.2">
      <c r="A3347" t="str">
        <f>"21/02/2013"</f>
        <v>21/02/2013</v>
      </c>
      <c r="B3347">
        <v>4</v>
      </c>
      <c r="C3347">
        <v>25000</v>
      </c>
      <c r="D3347">
        <v>45345</v>
      </c>
      <c r="E3347">
        <v>25000</v>
      </c>
      <c r="F3347">
        <v>25000</v>
      </c>
      <c r="G3347" s="1">
        <v>1.7500000000000002E-2</v>
      </c>
      <c r="H3347" s="1">
        <v>1.7399999999999999E-2</v>
      </c>
      <c r="I3347" s="1">
        <v>1.7399999999999999E-2</v>
      </c>
      <c r="J3347" s="1">
        <v>0.33510000000000001</v>
      </c>
    </row>
    <row r="3348" spans="1:10" x14ac:dyDescent="0.2">
      <c r="A3348" t="str">
        <f>"20/02/2013"</f>
        <v>20/02/2013</v>
      </c>
      <c r="B3348">
        <v>1</v>
      </c>
      <c r="C3348">
        <v>27000</v>
      </c>
      <c r="D3348">
        <v>68998</v>
      </c>
      <c r="E3348">
        <v>27000</v>
      </c>
      <c r="F3348">
        <v>27000</v>
      </c>
      <c r="G3348" s="1">
        <v>1.7500000000000002E-2</v>
      </c>
      <c r="H3348" s="1">
        <v>1.7399999999999999E-2</v>
      </c>
      <c r="I3348" s="1">
        <v>1.7399999999999999E-2</v>
      </c>
      <c r="J3348" s="1">
        <v>0.2135</v>
      </c>
    </row>
    <row r="3349" spans="1:10" x14ac:dyDescent="0.2">
      <c r="A3349" t="str">
        <f>"19/02/2013"</f>
        <v>19/02/2013</v>
      </c>
      <c r="B3349">
        <v>1</v>
      </c>
      <c r="C3349">
        <v>26000</v>
      </c>
      <c r="D3349">
        <v>65395</v>
      </c>
      <c r="E3349">
        <v>26000</v>
      </c>
      <c r="F3349">
        <v>26000</v>
      </c>
      <c r="G3349" s="1">
        <v>1.7500000000000002E-2</v>
      </c>
      <c r="H3349" s="1">
        <v>1.7399999999999999E-2</v>
      </c>
      <c r="I3349" s="1">
        <v>1.7399999999999999E-2</v>
      </c>
      <c r="J3349" s="1">
        <v>0.1993</v>
      </c>
    </row>
    <row r="3350" spans="1:10" x14ac:dyDescent="0.2">
      <c r="A3350" t="str">
        <f>"18/02/2013"</f>
        <v>18/02/2013</v>
      </c>
      <c r="B3350">
        <v>1</v>
      </c>
      <c r="C3350">
        <v>28000</v>
      </c>
      <c r="D3350">
        <v>59309</v>
      </c>
      <c r="E3350">
        <v>28000</v>
      </c>
      <c r="F3350">
        <v>28000</v>
      </c>
      <c r="G3350" s="1">
        <v>1.7500000000000002E-2</v>
      </c>
      <c r="H3350" s="1">
        <v>1.7399999999999999E-2</v>
      </c>
      <c r="I3350" s="1">
        <v>1.7399999999999999E-2</v>
      </c>
      <c r="J3350" s="1">
        <v>0.27360000000000001</v>
      </c>
    </row>
    <row r="3351" spans="1:10" x14ac:dyDescent="0.2">
      <c r="A3351" t="str">
        <f>"17/02/2013"</f>
        <v>17/02/2013</v>
      </c>
      <c r="B3351">
        <v>1</v>
      </c>
      <c r="C3351">
        <v>27000</v>
      </c>
      <c r="D3351">
        <v>69275</v>
      </c>
      <c r="E3351">
        <v>27000</v>
      </c>
      <c r="F3351">
        <v>27000</v>
      </c>
      <c r="G3351" s="1">
        <v>1.7500000000000002E-2</v>
      </c>
      <c r="H3351" s="1">
        <v>1.7399999999999999E-2</v>
      </c>
      <c r="I3351" s="1">
        <v>1.7399999999999999E-2</v>
      </c>
      <c r="J3351" s="1">
        <v>0.20680000000000001</v>
      </c>
    </row>
    <row r="3352" spans="1:10" x14ac:dyDescent="0.2">
      <c r="A3352" t="str">
        <f>"14/02/2013"</f>
        <v>14/02/2013</v>
      </c>
      <c r="B3352">
        <v>3</v>
      </c>
      <c r="C3352">
        <v>36000</v>
      </c>
      <c r="D3352">
        <v>83868</v>
      </c>
      <c r="E3352">
        <v>36000</v>
      </c>
      <c r="F3352">
        <v>36000</v>
      </c>
      <c r="G3352" s="1">
        <v>1.7500000000000002E-2</v>
      </c>
      <c r="H3352" s="1">
        <v>1.7500000000000002E-2</v>
      </c>
      <c r="I3352" s="1">
        <v>1.7500000000000002E-2</v>
      </c>
      <c r="J3352" s="1">
        <v>0.28070000000000001</v>
      </c>
    </row>
    <row r="3353" spans="1:10" x14ac:dyDescent="0.2">
      <c r="A3353" t="str">
        <f>"13/02/2013"</f>
        <v>13/02/2013</v>
      </c>
      <c r="B3353">
        <v>1</v>
      </c>
      <c r="C3353">
        <v>34000</v>
      </c>
      <c r="D3353">
        <v>72095</v>
      </c>
      <c r="E3353">
        <v>34000</v>
      </c>
      <c r="F3353">
        <v>34000</v>
      </c>
      <c r="G3353" s="1">
        <v>1.7500000000000002E-2</v>
      </c>
      <c r="H3353" s="1">
        <v>1.7399999999999999E-2</v>
      </c>
      <c r="I3353" s="1">
        <v>1.7399999999999999E-2</v>
      </c>
      <c r="J3353" s="1">
        <v>0.2979</v>
      </c>
    </row>
    <row r="3354" spans="1:10" x14ac:dyDescent="0.2">
      <c r="A3354" t="str">
        <f>"12/02/2013"</f>
        <v>12/02/2013</v>
      </c>
      <c r="B3354">
        <v>1</v>
      </c>
      <c r="C3354">
        <v>34000</v>
      </c>
      <c r="D3354">
        <v>72083</v>
      </c>
      <c r="E3354">
        <v>34000</v>
      </c>
      <c r="F3354">
        <v>34000</v>
      </c>
      <c r="G3354" s="1">
        <v>1.7500000000000002E-2</v>
      </c>
      <c r="H3354" s="1">
        <v>1.7399999999999999E-2</v>
      </c>
      <c r="I3354" s="1">
        <v>1.7399999999999999E-2</v>
      </c>
      <c r="J3354" s="1">
        <v>0.28660000000000002</v>
      </c>
    </row>
    <row r="3355" spans="1:10" x14ac:dyDescent="0.2">
      <c r="A3355" t="str">
        <f>"11/02/2013"</f>
        <v>11/02/2013</v>
      </c>
      <c r="B3355">
        <v>1</v>
      </c>
      <c r="C3355">
        <v>35000</v>
      </c>
      <c r="D3355">
        <v>75005</v>
      </c>
      <c r="E3355">
        <v>35000</v>
      </c>
      <c r="F3355">
        <v>35000</v>
      </c>
      <c r="G3355" s="1">
        <v>1.7500000000000002E-2</v>
      </c>
      <c r="H3355" s="1">
        <v>1.7399999999999999E-2</v>
      </c>
      <c r="I3355" s="1">
        <v>1.7399999999999999E-2</v>
      </c>
      <c r="J3355" s="1">
        <v>0.27889999999999998</v>
      </c>
    </row>
    <row r="3356" spans="1:10" x14ac:dyDescent="0.2">
      <c r="A3356" t="str">
        <f>"10/02/2013"</f>
        <v>10/02/2013</v>
      </c>
      <c r="B3356">
        <v>1</v>
      </c>
      <c r="C3356">
        <v>35000</v>
      </c>
      <c r="D3356">
        <v>82282</v>
      </c>
      <c r="E3356">
        <v>35000</v>
      </c>
      <c r="F3356">
        <v>35000</v>
      </c>
      <c r="G3356" s="1">
        <v>1.7500000000000002E-2</v>
      </c>
      <c r="H3356" s="1">
        <v>1.7399999999999999E-2</v>
      </c>
      <c r="I3356" s="1">
        <v>1.7399999999999999E-2</v>
      </c>
      <c r="J3356" s="1">
        <v>0.2591</v>
      </c>
    </row>
    <row r="3357" spans="1:10" x14ac:dyDescent="0.2">
      <c r="A3357" t="str">
        <f>"07/02/2013"</f>
        <v>07/02/2013</v>
      </c>
      <c r="B3357">
        <v>3</v>
      </c>
      <c r="C3357">
        <v>35000</v>
      </c>
      <c r="D3357">
        <v>86230</v>
      </c>
      <c r="E3357">
        <v>35000</v>
      </c>
      <c r="F3357">
        <v>35000</v>
      </c>
      <c r="G3357" s="1">
        <v>1.7500000000000002E-2</v>
      </c>
      <c r="H3357" s="1">
        <v>1.7500000000000002E-2</v>
      </c>
      <c r="I3357" s="1">
        <v>1.7500000000000002E-2</v>
      </c>
      <c r="J3357" s="1">
        <v>0.25650000000000001</v>
      </c>
    </row>
    <row r="3358" spans="1:10" x14ac:dyDescent="0.2">
      <c r="A3358" t="str">
        <f>"06/02/2013"</f>
        <v>06/02/2013</v>
      </c>
      <c r="B3358">
        <v>1</v>
      </c>
      <c r="C3358">
        <v>35000</v>
      </c>
      <c r="D3358">
        <v>81638</v>
      </c>
      <c r="E3358">
        <v>35000</v>
      </c>
      <c r="F3358">
        <v>35000</v>
      </c>
      <c r="G3358" s="1">
        <v>1.7500000000000002E-2</v>
      </c>
      <c r="H3358" s="1">
        <v>1.7399999999999999E-2</v>
      </c>
      <c r="I3358" s="1">
        <v>1.7399999999999999E-2</v>
      </c>
      <c r="J3358" s="1">
        <v>0.26500000000000001</v>
      </c>
    </row>
    <row r="3359" spans="1:10" x14ac:dyDescent="0.2">
      <c r="A3359" t="str">
        <f>"05/02/2013"</f>
        <v>05/02/2013</v>
      </c>
      <c r="B3359">
        <v>1</v>
      </c>
      <c r="C3359">
        <v>36000</v>
      </c>
      <c r="D3359">
        <v>76225</v>
      </c>
      <c r="E3359">
        <v>36000</v>
      </c>
      <c r="F3359">
        <v>36000</v>
      </c>
      <c r="G3359" s="1">
        <v>1.7500000000000002E-2</v>
      </c>
      <c r="H3359" s="1">
        <v>1.7500000000000002E-2</v>
      </c>
      <c r="I3359" s="1">
        <v>1.7500000000000002E-2</v>
      </c>
      <c r="J3359" s="1">
        <v>0.31030000000000002</v>
      </c>
    </row>
    <row r="3360" spans="1:10" x14ac:dyDescent="0.2">
      <c r="A3360" t="str">
        <f>"04/02/2013"</f>
        <v>04/02/2013</v>
      </c>
      <c r="B3360">
        <v>1</v>
      </c>
      <c r="C3360">
        <v>36000</v>
      </c>
      <c r="D3360">
        <v>72380</v>
      </c>
      <c r="E3360">
        <v>36000</v>
      </c>
      <c r="F3360">
        <v>36000</v>
      </c>
      <c r="G3360" s="1">
        <v>1.7500000000000002E-2</v>
      </c>
      <c r="H3360" s="1">
        <v>1.7500000000000002E-2</v>
      </c>
      <c r="I3360" s="1">
        <v>1.7500000000000002E-2</v>
      </c>
      <c r="J3360" s="1">
        <v>0.35470000000000002</v>
      </c>
    </row>
    <row r="3361" spans="1:10" x14ac:dyDescent="0.2">
      <c r="A3361" t="str">
        <f>"03/02/2013"</f>
        <v>03/02/2013</v>
      </c>
      <c r="B3361">
        <v>1</v>
      </c>
      <c r="C3361">
        <v>36000</v>
      </c>
      <c r="D3361">
        <v>60328</v>
      </c>
      <c r="E3361">
        <v>36000</v>
      </c>
      <c r="F3361">
        <v>36000</v>
      </c>
      <c r="G3361" s="1">
        <v>1.7500000000000002E-2</v>
      </c>
      <c r="H3361" s="1">
        <v>1.7500000000000002E-2</v>
      </c>
      <c r="I3361" s="1">
        <v>1.7500000000000002E-2</v>
      </c>
      <c r="J3361" s="1">
        <v>0.4612</v>
      </c>
    </row>
    <row r="3362" spans="1:10" x14ac:dyDescent="0.2">
      <c r="A3362" t="str">
        <f>"31/01/2013"</f>
        <v>31/01/2013</v>
      </c>
      <c r="B3362">
        <v>3</v>
      </c>
      <c r="C3362">
        <v>33000</v>
      </c>
      <c r="D3362">
        <v>40250</v>
      </c>
      <c r="E3362">
        <v>33000</v>
      </c>
      <c r="F3362">
        <v>33000</v>
      </c>
      <c r="G3362" s="1">
        <v>1.7500000000000002E-2</v>
      </c>
      <c r="H3362" s="1">
        <v>1.7500000000000002E-2</v>
      </c>
      <c r="I3362" s="1">
        <v>1.7500000000000002E-2</v>
      </c>
      <c r="J3362" s="1">
        <v>0.74260000000000004</v>
      </c>
    </row>
    <row r="3363" spans="1:10" x14ac:dyDescent="0.2">
      <c r="A3363" t="str">
        <f>"30/01/2013"</f>
        <v>30/01/2013</v>
      </c>
      <c r="B3363">
        <v>1</v>
      </c>
      <c r="C3363">
        <v>30000</v>
      </c>
      <c r="D3363">
        <v>29520</v>
      </c>
      <c r="E3363">
        <v>29520</v>
      </c>
      <c r="F3363">
        <v>29520</v>
      </c>
      <c r="G3363" s="1">
        <v>1.7500000000000002E-2</v>
      </c>
      <c r="H3363" s="1">
        <v>1.7399999999999999E-2</v>
      </c>
      <c r="I3363" s="1">
        <v>1.7399999999999999E-2</v>
      </c>
      <c r="J3363" s="1">
        <v>1</v>
      </c>
    </row>
    <row r="3364" spans="1:10" x14ac:dyDescent="0.2">
      <c r="A3364" t="str">
        <f>"29/01/2013"</f>
        <v>29/01/2013</v>
      </c>
      <c r="B3364">
        <v>1</v>
      </c>
      <c r="C3364">
        <v>29000</v>
      </c>
      <c r="D3364">
        <v>31630</v>
      </c>
      <c r="E3364">
        <v>29000</v>
      </c>
      <c r="F3364">
        <v>29000</v>
      </c>
      <c r="G3364" s="1">
        <v>1.7500000000000002E-2</v>
      </c>
      <c r="H3364" s="1">
        <v>1.7399999999999999E-2</v>
      </c>
      <c r="I3364" s="1">
        <v>1.7399999999999999E-2</v>
      </c>
      <c r="J3364" s="1">
        <v>0.77710000000000001</v>
      </c>
    </row>
    <row r="3365" spans="1:10" x14ac:dyDescent="0.2">
      <c r="A3365" t="str">
        <f>"28/01/2013"</f>
        <v>28/01/2013</v>
      </c>
      <c r="B3365">
        <v>1</v>
      </c>
      <c r="C3365">
        <v>30000</v>
      </c>
      <c r="D3365">
        <v>31250</v>
      </c>
      <c r="E3365">
        <v>30000</v>
      </c>
      <c r="F3365">
        <v>30000</v>
      </c>
      <c r="G3365" s="1">
        <v>1.7500000000000002E-2</v>
      </c>
      <c r="H3365" s="1">
        <v>1.7399999999999999E-2</v>
      </c>
      <c r="I3365" s="1">
        <v>1.7399999999999999E-2</v>
      </c>
      <c r="J3365" s="1">
        <v>0.88100000000000001</v>
      </c>
    </row>
    <row r="3366" spans="1:10" x14ac:dyDescent="0.2">
      <c r="A3366" t="str">
        <f>"27/01/2013"</f>
        <v>27/01/2013</v>
      </c>
      <c r="B3366">
        <v>1</v>
      </c>
      <c r="C3366">
        <v>27000</v>
      </c>
      <c r="D3366">
        <v>31631</v>
      </c>
      <c r="E3366">
        <v>27000</v>
      </c>
      <c r="F3366">
        <v>27000</v>
      </c>
      <c r="G3366" s="1">
        <v>1.7500000000000002E-2</v>
      </c>
      <c r="H3366" s="1">
        <v>1.7399999999999999E-2</v>
      </c>
      <c r="I3366" s="1">
        <v>1.7399999999999999E-2</v>
      </c>
      <c r="J3366" s="1">
        <v>0.64239999999999997</v>
      </c>
    </row>
    <row r="3367" spans="1:10" x14ac:dyDescent="0.2">
      <c r="A3367" t="str">
        <f>"24/01/2013"</f>
        <v>24/01/2013</v>
      </c>
      <c r="B3367">
        <v>3</v>
      </c>
      <c r="C3367">
        <v>28000</v>
      </c>
      <c r="D3367">
        <v>66228</v>
      </c>
      <c r="E3367">
        <v>28000</v>
      </c>
      <c r="F3367">
        <v>28000</v>
      </c>
      <c r="G3367" s="1">
        <v>1.7500000000000002E-2</v>
      </c>
      <c r="H3367" s="1">
        <v>1.7399999999999999E-2</v>
      </c>
      <c r="I3367" s="1">
        <v>1.7399999999999999E-2</v>
      </c>
      <c r="J3367" s="1">
        <v>0.24610000000000001</v>
      </c>
    </row>
    <row r="3368" spans="1:10" x14ac:dyDescent="0.2">
      <c r="A3368" t="str">
        <f>"23/01/2013"</f>
        <v>23/01/2013</v>
      </c>
      <c r="B3368">
        <v>1</v>
      </c>
      <c r="C3368">
        <v>29000</v>
      </c>
      <c r="D3368">
        <v>80120</v>
      </c>
      <c r="E3368">
        <v>29000</v>
      </c>
      <c r="F3368">
        <v>29000</v>
      </c>
      <c r="G3368" s="1">
        <v>1.7500000000000002E-2</v>
      </c>
      <c r="H3368" s="1">
        <v>1.7399999999999999E-2</v>
      </c>
      <c r="I3368" s="1">
        <v>1.7399999999999999E-2</v>
      </c>
      <c r="J3368" s="1">
        <v>0.18920000000000001</v>
      </c>
    </row>
    <row r="3369" spans="1:10" x14ac:dyDescent="0.2">
      <c r="A3369" t="str">
        <f>"21/01/2013"</f>
        <v>21/01/2013</v>
      </c>
      <c r="B3369">
        <v>2</v>
      </c>
      <c r="C3369">
        <v>31000</v>
      </c>
      <c r="D3369">
        <v>85009</v>
      </c>
      <c r="E3369">
        <v>31000</v>
      </c>
      <c r="F3369">
        <v>31000</v>
      </c>
      <c r="G3369" s="1">
        <v>1.7500000000000002E-2</v>
      </c>
      <c r="H3369" s="1">
        <v>1.7399999999999999E-2</v>
      </c>
      <c r="I3369" s="1">
        <v>1.7399999999999999E-2</v>
      </c>
      <c r="J3369" s="1">
        <v>0.20399999999999999</v>
      </c>
    </row>
    <row r="3370" spans="1:10" x14ac:dyDescent="0.2">
      <c r="A3370" t="str">
        <f>"20/01/2013"</f>
        <v>20/01/2013</v>
      </c>
      <c r="B3370">
        <v>1</v>
      </c>
      <c r="C3370">
        <v>32000</v>
      </c>
      <c r="D3370">
        <v>79978</v>
      </c>
      <c r="E3370">
        <v>32000</v>
      </c>
      <c r="F3370">
        <v>32000</v>
      </c>
      <c r="G3370" s="1">
        <v>1.7500000000000002E-2</v>
      </c>
      <c r="H3370" s="1">
        <v>1.7399999999999999E-2</v>
      </c>
      <c r="I3370" s="1">
        <v>1.7399999999999999E-2</v>
      </c>
      <c r="J3370" s="1">
        <v>0.2336</v>
      </c>
    </row>
    <row r="3371" spans="1:10" x14ac:dyDescent="0.2">
      <c r="A3371" t="str">
        <f>"17/01/2013"</f>
        <v>17/01/2013</v>
      </c>
      <c r="B3371">
        <v>3</v>
      </c>
      <c r="C3371">
        <v>32000</v>
      </c>
      <c r="D3371">
        <v>71651</v>
      </c>
      <c r="E3371">
        <v>32000</v>
      </c>
      <c r="F3371">
        <v>32000</v>
      </c>
      <c r="G3371" s="1">
        <v>1.7500000000000002E-2</v>
      </c>
      <c r="H3371" s="1">
        <v>1.7399999999999999E-2</v>
      </c>
      <c r="I3371" s="1">
        <v>1.7399999999999999E-2</v>
      </c>
      <c r="J3371" s="1">
        <v>0.26840000000000003</v>
      </c>
    </row>
    <row r="3372" spans="1:10" x14ac:dyDescent="0.2">
      <c r="A3372" t="str">
        <f>"16/01/2013"</f>
        <v>16/01/2013</v>
      </c>
      <c r="B3372">
        <v>1</v>
      </c>
      <c r="C3372">
        <v>27000</v>
      </c>
      <c r="D3372">
        <v>55306</v>
      </c>
      <c r="E3372">
        <v>27000</v>
      </c>
      <c r="F3372">
        <v>27000</v>
      </c>
      <c r="G3372" s="1">
        <v>1.7500000000000002E-2</v>
      </c>
      <c r="H3372" s="1">
        <v>1.7399999999999999E-2</v>
      </c>
      <c r="I3372" s="1">
        <v>1.7399999999999999E-2</v>
      </c>
      <c r="J3372" s="1">
        <v>0.25509999999999999</v>
      </c>
    </row>
    <row r="3373" spans="1:10" x14ac:dyDescent="0.2">
      <c r="A3373" t="str">
        <f>"15/01/2013"</f>
        <v>15/01/2013</v>
      </c>
      <c r="B3373">
        <v>1</v>
      </c>
      <c r="C3373">
        <v>38000</v>
      </c>
      <c r="D3373">
        <v>84087</v>
      </c>
      <c r="E3373">
        <v>38000</v>
      </c>
      <c r="F3373">
        <v>38000</v>
      </c>
      <c r="G3373" s="1">
        <v>1.7500000000000002E-2</v>
      </c>
      <c r="H3373" s="1">
        <v>1.7399999999999999E-2</v>
      </c>
      <c r="I3373" s="1">
        <v>1.7399999999999999E-2</v>
      </c>
      <c r="J3373" s="1">
        <v>0.2828</v>
      </c>
    </row>
    <row r="3374" spans="1:10" x14ac:dyDescent="0.2">
      <c r="A3374" t="str">
        <f>"14/01/2013"</f>
        <v>14/01/2013</v>
      </c>
      <c r="B3374">
        <v>1</v>
      </c>
      <c r="C3374">
        <v>39000</v>
      </c>
      <c r="D3374">
        <v>97195</v>
      </c>
      <c r="E3374">
        <v>39000</v>
      </c>
      <c r="F3374">
        <v>39000</v>
      </c>
      <c r="G3374" s="1">
        <v>1.7500000000000002E-2</v>
      </c>
      <c r="H3374" s="1">
        <v>1.7399999999999999E-2</v>
      </c>
      <c r="I3374" s="1">
        <v>1.7399999999999999E-2</v>
      </c>
      <c r="J3374" s="1">
        <v>0.2407</v>
      </c>
    </row>
    <row r="3375" spans="1:10" x14ac:dyDescent="0.2">
      <c r="A3375" t="str">
        <f>"13/01/2013"</f>
        <v>13/01/2013</v>
      </c>
      <c r="B3375">
        <v>1</v>
      </c>
      <c r="C3375">
        <v>40000</v>
      </c>
      <c r="D3375">
        <v>98675</v>
      </c>
      <c r="E3375">
        <v>40000</v>
      </c>
      <c r="F3375">
        <v>40000</v>
      </c>
      <c r="G3375" s="1">
        <v>1.7500000000000002E-2</v>
      </c>
      <c r="H3375" s="1">
        <v>1.7500000000000002E-2</v>
      </c>
      <c r="I3375" s="1">
        <v>1.7500000000000002E-2</v>
      </c>
      <c r="J3375" s="1">
        <v>0.25669999999999998</v>
      </c>
    </row>
    <row r="3376" spans="1:10" x14ac:dyDescent="0.2">
      <c r="A3376" t="str">
        <f>"10/01/2013"</f>
        <v>10/01/2013</v>
      </c>
      <c r="B3376">
        <v>3</v>
      </c>
      <c r="C3376">
        <v>40000</v>
      </c>
      <c r="D3376">
        <v>105155</v>
      </c>
      <c r="E3376">
        <v>40000</v>
      </c>
      <c r="F3376">
        <v>40000</v>
      </c>
      <c r="G3376" s="1">
        <v>1.7500000000000002E-2</v>
      </c>
      <c r="H3376" s="1">
        <v>1.7500000000000002E-2</v>
      </c>
      <c r="I3376" s="1">
        <v>1.7500000000000002E-2</v>
      </c>
      <c r="J3376" s="1">
        <v>0.2429</v>
      </c>
    </row>
    <row r="3377" spans="1:10" x14ac:dyDescent="0.2">
      <c r="A3377" t="str">
        <f>"09/01/2013"</f>
        <v>09/01/2013</v>
      </c>
      <c r="B3377">
        <v>1</v>
      </c>
      <c r="C3377">
        <v>40000</v>
      </c>
      <c r="D3377">
        <v>99745</v>
      </c>
      <c r="E3377">
        <v>40000</v>
      </c>
      <c r="F3377">
        <v>40000</v>
      </c>
      <c r="G3377" s="1">
        <v>1.7500000000000002E-2</v>
      </c>
      <c r="H3377" s="1">
        <v>1.7399999999999999E-2</v>
      </c>
      <c r="I3377" s="1">
        <v>1.7399999999999999E-2</v>
      </c>
      <c r="J3377" s="1">
        <v>0.23480000000000001</v>
      </c>
    </row>
    <row r="3378" spans="1:10" x14ac:dyDescent="0.2">
      <c r="A3378" t="str">
        <f>"08/01/2013"</f>
        <v>08/01/2013</v>
      </c>
      <c r="B3378">
        <v>1</v>
      </c>
      <c r="C3378">
        <v>41000</v>
      </c>
      <c r="D3378">
        <v>98464</v>
      </c>
      <c r="E3378">
        <v>41000</v>
      </c>
      <c r="F3378">
        <v>41000</v>
      </c>
      <c r="G3378" s="1">
        <v>1.7500000000000002E-2</v>
      </c>
      <c r="H3378" s="1">
        <v>1.7399999999999999E-2</v>
      </c>
      <c r="I3378" s="1">
        <v>1.7399999999999999E-2</v>
      </c>
      <c r="J3378" s="1">
        <v>0.26119999999999999</v>
      </c>
    </row>
    <row r="3379" spans="1:10" x14ac:dyDescent="0.2">
      <c r="A3379" t="str">
        <f>"07/01/2013"</f>
        <v>07/01/2013</v>
      </c>
      <c r="B3379">
        <v>1</v>
      </c>
      <c r="C3379">
        <v>43000</v>
      </c>
      <c r="D3379">
        <v>95600</v>
      </c>
      <c r="E3379">
        <v>43000</v>
      </c>
      <c r="F3379">
        <v>43000</v>
      </c>
      <c r="G3379" s="1">
        <v>1.7500000000000002E-2</v>
      </c>
      <c r="H3379" s="1">
        <v>1.7500000000000002E-2</v>
      </c>
      <c r="I3379" s="1">
        <v>1.7500000000000002E-2</v>
      </c>
      <c r="J3379" s="1">
        <v>0.29449999999999998</v>
      </c>
    </row>
    <row r="3380" spans="1:10" x14ac:dyDescent="0.2">
      <c r="A3380" t="str">
        <f>"06/01/2013"</f>
        <v>06/01/2013</v>
      </c>
      <c r="B3380">
        <v>1</v>
      </c>
      <c r="C3380">
        <v>42000</v>
      </c>
      <c r="D3380">
        <v>85740</v>
      </c>
      <c r="E3380">
        <v>42000</v>
      </c>
      <c r="F3380">
        <v>42000</v>
      </c>
      <c r="G3380" s="1">
        <v>1.7500000000000002E-2</v>
      </c>
      <c r="H3380" s="1">
        <v>1.7500000000000002E-2</v>
      </c>
      <c r="I3380" s="1">
        <v>1.7500000000000002E-2</v>
      </c>
      <c r="J3380" s="1">
        <v>0.33029999999999998</v>
      </c>
    </row>
    <row r="3381" spans="1:10" x14ac:dyDescent="0.2">
      <c r="A3381" t="str">
        <f>"03/01/2013"</f>
        <v>03/01/2013</v>
      </c>
      <c r="B3381">
        <v>3</v>
      </c>
      <c r="C3381">
        <v>42000</v>
      </c>
      <c r="D3381">
        <v>79635</v>
      </c>
      <c r="E3381">
        <v>42000</v>
      </c>
      <c r="F3381">
        <v>42000</v>
      </c>
      <c r="G3381" s="1">
        <v>1.7500000000000002E-2</v>
      </c>
      <c r="H3381" s="1">
        <v>1.7500000000000002E-2</v>
      </c>
      <c r="I3381" s="1">
        <v>1.7500000000000002E-2</v>
      </c>
      <c r="J3381" s="1">
        <v>0.39729999999999999</v>
      </c>
    </row>
    <row r="3382" spans="1:10" x14ac:dyDescent="0.2">
      <c r="A3382" t="str">
        <f>"02/01/2013"</f>
        <v>02/01/2013</v>
      </c>
      <c r="B3382">
        <v>1</v>
      </c>
      <c r="C3382">
        <v>43000</v>
      </c>
      <c r="D3382">
        <v>78260</v>
      </c>
      <c r="E3382">
        <v>43000</v>
      </c>
      <c r="F3382">
        <v>43000</v>
      </c>
      <c r="G3382" s="1">
        <v>1.7500000000000002E-2</v>
      </c>
      <c r="H3382" s="1">
        <v>1.7500000000000002E-2</v>
      </c>
      <c r="I3382" s="1">
        <v>1.7500000000000002E-2</v>
      </c>
      <c r="J3382" s="1">
        <v>0.40870000000000001</v>
      </c>
    </row>
    <row r="3383" spans="1:10" x14ac:dyDescent="0.2">
      <c r="A3383" t="str">
        <f>"01/01/2013"</f>
        <v>01/01/2013</v>
      </c>
      <c r="B3383">
        <v>1</v>
      </c>
      <c r="C3383">
        <v>45000</v>
      </c>
      <c r="D3383">
        <v>72417</v>
      </c>
      <c r="E3383">
        <v>45000</v>
      </c>
      <c r="F3383">
        <v>45000</v>
      </c>
      <c r="G3383" s="1">
        <v>1.7500000000000002E-2</v>
      </c>
      <c r="H3383" s="1">
        <v>1.7500000000000002E-2</v>
      </c>
      <c r="I3383" s="1">
        <v>1.7500000000000002E-2</v>
      </c>
      <c r="J3383" s="1">
        <v>0.52029999999999998</v>
      </c>
    </row>
    <row r="3384" spans="1:10" x14ac:dyDescent="0.2">
      <c r="A3384" t="str">
        <f>"31/12/2012"</f>
        <v>31/12/2012</v>
      </c>
      <c r="B3384">
        <v>1</v>
      </c>
      <c r="C3384">
        <v>42000</v>
      </c>
      <c r="D3384">
        <v>53959</v>
      </c>
      <c r="E3384">
        <v>42000</v>
      </c>
      <c r="F3384">
        <v>42000</v>
      </c>
      <c r="G3384" s="1">
        <v>1.7500000000000002E-2</v>
      </c>
      <c r="H3384" s="1">
        <v>1.7500000000000002E-2</v>
      </c>
      <c r="I3384" s="1">
        <v>1.7500000000000002E-2</v>
      </c>
      <c r="J3384" s="1">
        <v>0.71220000000000006</v>
      </c>
    </row>
    <row r="3385" spans="1:10" x14ac:dyDescent="0.2">
      <c r="A3385" t="str">
        <f>"30/12/2012"</f>
        <v>30/12/2012</v>
      </c>
      <c r="B3385">
        <v>1</v>
      </c>
      <c r="C3385">
        <v>39000</v>
      </c>
      <c r="D3385">
        <v>56079</v>
      </c>
      <c r="E3385">
        <v>39000</v>
      </c>
      <c r="F3385">
        <v>39000</v>
      </c>
      <c r="G3385" s="1">
        <v>1.7500000000000002E-2</v>
      </c>
      <c r="H3385" s="1">
        <v>1.7500000000000002E-2</v>
      </c>
      <c r="I3385" s="1">
        <v>1.7500000000000002E-2</v>
      </c>
      <c r="J3385" s="1">
        <v>0.61</v>
      </c>
    </row>
    <row r="3386" spans="1:10" x14ac:dyDescent="0.2">
      <c r="A3386" t="str">
        <f>"27/12/2012"</f>
        <v>27/12/2012</v>
      </c>
      <c r="B3386">
        <v>3</v>
      </c>
      <c r="C3386">
        <v>37000</v>
      </c>
      <c r="D3386">
        <v>47295</v>
      </c>
      <c r="E3386">
        <v>37000</v>
      </c>
      <c r="F3386">
        <v>37000</v>
      </c>
      <c r="G3386" s="1">
        <v>1.7500000000000002E-2</v>
      </c>
      <c r="H3386" s="1">
        <v>1.7500000000000002E-2</v>
      </c>
      <c r="I3386" s="1">
        <v>1.7500000000000002E-2</v>
      </c>
      <c r="J3386" s="1">
        <v>0.72460000000000002</v>
      </c>
    </row>
    <row r="3387" spans="1:10" x14ac:dyDescent="0.2">
      <c r="A3387" t="str">
        <f>"26/12/2012"</f>
        <v>26/12/2012</v>
      </c>
      <c r="B3387">
        <v>1</v>
      </c>
      <c r="C3387">
        <v>34000</v>
      </c>
      <c r="D3387">
        <v>31571</v>
      </c>
      <c r="E3387">
        <v>31571</v>
      </c>
      <c r="F3387">
        <v>31571</v>
      </c>
      <c r="G3387" s="1">
        <v>0.02</v>
      </c>
      <c r="H3387" s="1">
        <v>1.9900000000000001E-2</v>
      </c>
      <c r="I3387" s="1">
        <v>1.9900000000000001E-2</v>
      </c>
      <c r="J3387" s="1">
        <v>1</v>
      </c>
    </row>
    <row r="3388" spans="1:10" x14ac:dyDescent="0.2">
      <c r="A3388" t="str">
        <f>"25/12/2012"</f>
        <v>25/12/2012</v>
      </c>
      <c r="B3388">
        <v>1</v>
      </c>
      <c r="C3388">
        <v>34000</v>
      </c>
      <c r="D3388">
        <v>32914</v>
      </c>
      <c r="E3388">
        <v>32914</v>
      </c>
      <c r="F3388">
        <v>32914</v>
      </c>
      <c r="G3388" s="1">
        <v>0.02</v>
      </c>
      <c r="H3388" s="1">
        <v>1.9900000000000001E-2</v>
      </c>
      <c r="I3388" s="1">
        <v>1.9900000000000001E-2</v>
      </c>
      <c r="J3388" s="1">
        <v>1</v>
      </c>
    </row>
    <row r="3389" spans="1:10" x14ac:dyDescent="0.2">
      <c r="A3389" t="str">
        <f>"24/12/2012"</f>
        <v>24/12/2012</v>
      </c>
      <c r="B3389">
        <v>1</v>
      </c>
      <c r="C3389">
        <v>33000</v>
      </c>
      <c r="D3389">
        <v>56098</v>
      </c>
      <c r="E3389">
        <v>33000</v>
      </c>
      <c r="F3389">
        <v>33000</v>
      </c>
      <c r="G3389" s="1">
        <v>0.02</v>
      </c>
      <c r="H3389" s="1">
        <v>0.02</v>
      </c>
      <c r="I3389" s="1">
        <v>0.02</v>
      </c>
      <c r="J3389" s="1">
        <v>0.42259999999999998</v>
      </c>
    </row>
    <row r="3390" spans="1:10" x14ac:dyDescent="0.2">
      <c r="A3390" t="str">
        <f>"23/12/2012"</f>
        <v>23/12/2012</v>
      </c>
      <c r="B3390">
        <v>1</v>
      </c>
      <c r="C3390">
        <v>32000</v>
      </c>
      <c r="D3390">
        <v>82999</v>
      </c>
      <c r="E3390">
        <v>32000</v>
      </c>
      <c r="F3390">
        <v>32000</v>
      </c>
      <c r="G3390" s="1">
        <v>0.02</v>
      </c>
      <c r="H3390" s="1">
        <v>1.9900000000000001E-2</v>
      </c>
      <c r="I3390" s="1">
        <v>1.9900000000000001E-2</v>
      </c>
      <c r="J3390" s="1">
        <v>0.26939999999999997</v>
      </c>
    </row>
    <row r="3391" spans="1:10" x14ac:dyDescent="0.2">
      <c r="A3391" t="str">
        <f>"20/12/2012"</f>
        <v>20/12/2012</v>
      </c>
      <c r="B3391">
        <v>3</v>
      </c>
      <c r="C3391">
        <v>30000</v>
      </c>
      <c r="D3391">
        <v>85515</v>
      </c>
      <c r="E3391">
        <v>30000</v>
      </c>
      <c r="F3391">
        <v>30000</v>
      </c>
      <c r="G3391" s="1">
        <v>0.02</v>
      </c>
      <c r="H3391" s="1">
        <v>0.02</v>
      </c>
      <c r="I3391" s="1">
        <v>0.02</v>
      </c>
      <c r="J3391" s="1">
        <v>0.21590000000000001</v>
      </c>
    </row>
    <row r="3392" spans="1:10" x14ac:dyDescent="0.2">
      <c r="A3392" t="str">
        <f>"19/12/2012"</f>
        <v>19/12/2012</v>
      </c>
      <c r="B3392">
        <v>1</v>
      </c>
      <c r="C3392">
        <v>29000</v>
      </c>
      <c r="D3392">
        <v>93382</v>
      </c>
      <c r="E3392">
        <v>29000</v>
      </c>
      <c r="F3392">
        <v>29000</v>
      </c>
      <c r="G3392" s="1">
        <v>0.02</v>
      </c>
      <c r="H3392" s="1">
        <v>1.9900000000000001E-2</v>
      </c>
      <c r="I3392" s="1">
        <v>1.9900000000000001E-2</v>
      </c>
      <c r="J3392" s="1">
        <v>0.16500000000000001</v>
      </c>
    </row>
    <row r="3393" spans="1:10" x14ac:dyDescent="0.2">
      <c r="A3393" t="str">
        <f>"18/12/2012"</f>
        <v>18/12/2012</v>
      </c>
      <c r="B3393">
        <v>1</v>
      </c>
      <c r="C3393">
        <v>29000</v>
      </c>
      <c r="D3393">
        <v>93203</v>
      </c>
      <c r="E3393">
        <v>29000</v>
      </c>
      <c r="F3393">
        <v>29000</v>
      </c>
      <c r="G3393" s="1">
        <v>0.02</v>
      </c>
      <c r="H3393" s="1">
        <v>1.9900000000000001E-2</v>
      </c>
      <c r="I3393" s="1">
        <v>1.9900000000000001E-2</v>
      </c>
      <c r="J3393" s="1">
        <v>0.18290000000000001</v>
      </c>
    </row>
    <row r="3394" spans="1:10" x14ac:dyDescent="0.2">
      <c r="A3394" t="str">
        <f>"17/12/2012"</f>
        <v>17/12/2012</v>
      </c>
      <c r="B3394">
        <v>1</v>
      </c>
      <c r="C3394">
        <v>30000</v>
      </c>
      <c r="D3394">
        <v>98376</v>
      </c>
      <c r="E3394">
        <v>30000</v>
      </c>
      <c r="F3394">
        <v>30000</v>
      </c>
      <c r="G3394" s="1">
        <v>0.02</v>
      </c>
      <c r="H3394" s="1">
        <v>0.02</v>
      </c>
      <c r="I3394" s="1">
        <v>0.02</v>
      </c>
      <c r="J3394" s="1">
        <v>0.18329999999999999</v>
      </c>
    </row>
    <row r="3395" spans="1:10" x14ac:dyDescent="0.2">
      <c r="A3395" t="str">
        <f>"16/12/2012"</f>
        <v>16/12/2012</v>
      </c>
      <c r="B3395">
        <v>1</v>
      </c>
      <c r="C3395">
        <v>37000</v>
      </c>
      <c r="D3395">
        <v>114977</v>
      </c>
      <c r="E3395">
        <v>37000</v>
      </c>
      <c r="F3395">
        <v>37000</v>
      </c>
      <c r="G3395" s="1">
        <v>0.02</v>
      </c>
      <c r="H3395" s="1">
        <v>0.02</v>
      </c>
      <c r="I3395" s="1">
        <v>0.02</v>
      </c>
      <c r="J3395" s="1">
        <v>0.216</v>
      </c>
    </row>
    <row r="3396" spans="1:10" x14ac:dyDescent="0.2">
      <c r="A3396" t="str">
        <f>"13/12/2012"</f>
        <v>13/12/2012</v>
      </c>
      <c r="B3396">
        <v>3</v>
      </c>
      <c r="C3396">
        <v>40000</v>
      </c>
      <c r="D3396">
        <v>120505</v>
      </c>
      <c r="E3396">
        <v>40000</v>
      </c>
      <c r="F3396">
        <v>40000</v>
      </c>
      <c r="G3396" s="1">
        <v>0.02</v>
      </c>
      <c r="H3396" s="1">
        <v>0.02</v>
      </c>
      <c r="I3396" s="1">
        <v>0.02</v>
      </c>
      <c r="J3396" s="1">
        <v>0.22889999999999999</v>
      </c>
    </row>
    <row r="3397" spans="1:10" x14ac:dyDescent="0.2">
      <c r="A3397" t="str">
        <f>"12/12/2012"</f>
        <v>12/12/2012</v>
      </c>
      <c r="B3397">
        <v>1</v>
      </c>
      <c r="C3397">
        <v>40000</v>
      </c>
      <c r="D3397">
        <v>127646</v>
      </c>
      <c r="E3397">
        <v>40000</v>
      </c>
      <c r="F3397">
        <v>40000</v>
      </c>
      <c r="G3397" s="1">
        <v>0.02</v>
      </c>
      <c r="H3397" s="1">
        <v>0.02</v>
      </c>
      <c r="I3397" s="1">
        <v>0.02</v>
      </c>
      <c r="J3397" s="1">
        <v>0.19550000000000001</v>
      </c>
    </row>
    <row r="3398" spans="1:10" x14ac:dyDescent="0.2">
      <c r="A3398" t="str">
        <f>"11/12/2012"</f>
        <v>11/12/2012</v>
      </c>
      <c r="B3398">
        <v>1</v>
      </c>
      <c r="C3398">
        <v>39000</v>
      </c>
      <c r="D3398">
        <v>120570</v>
      </c>
      <c r="E3398">
        <v>39000</v>
      </c>
      <c r="F3398">
        <v>39000</v>
      </c>
      <c r="G3398" s="1">
        <v>0.02</v>
      </c>
      <c r="H3398" s="1">
        <v>1.9900000000000001E-2</v>
      </c>
      <c r="I3398" s="1">
        <v>1.9900000000000001E-2</v>
      </c>
      <c r="J3398" s="1">
        <v>0.17849999999999999</v>
      </c>
    </row>
    <row r="3399" spans="1:10" x14ac:dyDescent="0.2">
      <c r="A3399" t="str">
        <f>"10/12/2012"</f>
        <v>10/12/2012</v>
      </c>
      <c r="B3399">
        <v>1</v>
      </c>
      <c r="C3399">
        <v>40000</v>
      </c>
      <c r="D3399">
        <v>129110</v>
      </c>
      <c r="E3399">
        <v>40000</v>
      </c>
      <c r="F3399">
        <v>40000</v>
      </c>
      <c r="G3399" s="1">
        <v>0.02</v>
      </c>
      <c r="H3399" s="1">
        <v>1.9900000000000001E-2</v>
      </c>
      <c r="I3399" s="1">
        <v>1.9900000000000001E-2</v>
      </c>
      <c r="J3399" s="1">
        <v>0.1787</v>
      </c>
    </row>
    <row r="3400" spans="1:10" x14ac:dyDescent="0.2">
      <c r="A3400" t="str">
        <f>"09/12/2012"</f>
        <v>09/12/2012</v>
      </c>
      <c r="B3400">
        <v>1</v>
      </c>
      <c r="C3400">
        <v>39000</v>
      </c>
      <c r="D3400">
        <v>111787</v>
      </c>
      <c r="E3400">
        <v>39000</v>
      </c>
      <c r="F3400">
        <v>39000</v>
      </c>
      <c r="G3400" s="1">
        <v>0.02</v>
      </c>
      <c r="H3400" s="1">
        <v>1.9900000000000001E-2</v>
      </c>
      <c r="I3400" s="1">
        <v>1.9900000000000001E-2</v>
      </c>
      <c r="J3400" s="1">
        <v>0.20899999999999999</v>
      </c>
    </row>
    <row r="3401" spans="1:10" x14ac:dyDescent="0.2">
      <c r="A3401" t="str">
        <f>"06/12/2012"</f>
        <v>06/12/2012</v>
      </c>
      <c r="B3401">
        <v>3</v>
      </c>
      <c r="C3401">
        <v>39000</v>
      </c>
      <c r="D3401">
        <v>98103</v>
      </c>
      <c r="E3401">
        <v>39000</v>
      </c>
      <c r="F3401">
        <v>39000</v>
      </c>
      <c r="G3401" s="1">
        <v>0.02</v>
      </c>
      <c r="H3401" s="1">
        <v>1.9900000000000001E-2</v>
      </c>
      <c r="I3401" s="1">
        <v>1.9900000000000001E-2</v>
      </c>
      <c r="J3401" s="1">
        <v>0.24479999999999999</v>
      </c>
    </row>
    <row r="3402" spans="1:10" x14ac:dyDescent="0.2">
      <c r="A3402" t="str">
        <f>"05/12/2012"</f>
        <v>05/12/2012</v>
      </c>
      <c r="B3402">
        <v>1</v>
      </c>
      <c r="C3402">
        <v>39000</v>
      </c>
      <c r="D3402">
        <v>95589</v>
      </c>
      <c r="E3402">
        <v>39000</v>
      </c>
      <c r="F3402">
        <v>39000</v>
      </c>
      <c r="G3402" s="1">
        <v>0.02</v>
      </c>
      <c r="H3402" s="1">
        <v>1.9900000000000001E-2</v>
      </c>
      <c r="I3402" s="1">
        <v>1.9900000000000001E-2</v>
      </c>
      <c r="J3402" s="1">
        <v>0.24399999999999999</v>
      </c>
    </row>
    <row r="3403" spans="1:10" x14ac:dyDescent="0.2">
      <c r="A3403" t="str">
        <f>"04/12/2012"</f>
        <v>04/12/2012</v>
      </c>
      <c r="B3403">
        <v>1</v>
      </c>
      <c r="C3403">
        <v>38000</v>
      </c>
      <c r="D3403">
        <v>80356</v>
      </c>
      <c r="E3403">
        <v>38000</v>
      </c>
      <c r="F3403">
        <v>38000</v>
      </c>
      <c r="G3403" s="1">
        <v>0.02</v>
      </c>
      <c r="H3403" s="1">
        <v>1.9900000000000001E-2</v>
      </c>
      <c r="I3403" s="1">
        <v>1.9900000000000001E-2</v>
      </c>
      <c r="J3403" s="1">
        <v>0.30220000000000002</v>
      </c>
    </row>
    <row r="3404" spans="1:10" x14ac:dyDescent="0.2">
      <c r="A3404" t="str">
        <f>"03/12/2012"</f>
        <v>03/12/2012</v>
      </c>
      <c r="B3404">
        <v>1</v>
      </c>
      <c r="C3404">
        <v>38000</v>
      </c>
      <c r="D3404">
        <v>71755</v>
      </c>
      <c r="E3404">
        <v>38000</v>
      </c>
      <c r="F3404">
        <v>38000</v>
      </c>
      <c r="G3404" s="1">
        <v>0.02</v>
      </c>
      <c r="H3404" s="1">
        <v>0.02</v>
      </c>
      <c r="I3404" s="1">
        <v>0.02</v>
      </c>
      <c r="J3404" s="1">
        <v>0.37390000000000001</v>
      </c>
    </row>
    <row r="3405" spans="1:10" x14ac:dyDescent="0.2">
      <c r="A3405" t="str">
        <f>"02/12/2012"</f>
        <v>02/12/2012</v>
      </c>
      <c r="B3405">
        <v>1</v>
      </c>
      <c r="C3405">
        <v>40000</v>
      </c>
      <c r="D3405">
        <v>57235</v>
      </c>
      <c r="E3405">
        <v>40000</v>
      </c>
      <c r="F3405">
        <v>40000</v>
      </c>
      <c r="G3405" s="1">
        <v>0.02</v>
      </c>
      <c r="H3405" s="1">
        <v>0.02</v>
      </c>
      <c r="I3405" s="1">
        <v>0.02</v>
      </c>
      <c r="J3405" s="1">
        <v>0.54779999999999995</v>
      </c>
    </row>
    <row r="3406" spans="1:10" x14ac:dyDescent="0.2">
      <c r="A3406" t="str">
        <f>"29/11/2012"</f>
        <v>29/11/2012</v>
      </c>
      <c r="B3406">
        <v>3</v>
      </c>
      <c r="C3406">
        <v>31000</v>
      </c>
      <c r="D3406">
        <v>40830</v>
      </c>
      <c r="E3406">
        <v>31000</v>
      </c>
      <c r="F3406">
        <v>31000</v>
      </c>
      <c r="G3406" s="1">
        <v>0.02</v>
      </c>
      <c r="H3406" s="1">
        <v>0.02</v>
      </c>
      <c r="I3406" s="1">
        <v>0.02</v>
      </c>
      <c r="J3406" s="1">
        <v>0.6905</v>
      </c>
    </row>
    <row r="3407" spans="1:10" x14ac:dyDescent="0.2">
      <c r="A3407" t="str">
        <f>"28/11/2012"</f>
        <v>28/11/2012</v>
      </c>
      <c r="B3407">
        <v>1</v>
      </c>
      <c r="C3407">
        <v>35000</v>
      </c>
      <c r="D3407">
        <v>34858</v>
      </c>
      <c r="E3407">
        <v>34858</v>
      </c>
      <c r="F3407">
        <v>34858</v>
      </c>
      <c r="G3407" s="1">
        <v>0.02</v>
      </c>
      <c r="H3407" s="1">
        <v>1.9900000000000001E-2</v>
      </c>
      <c r="I3407" s="1">
        <v>1.9900000000000001E-2</v>
      </c>
      <c r="J3407" s="1">
        <v>1</v>
      </c>
    </row>
    <row r="3408" spans="1:10" x14ac:dyDescent="0.2">
      <c r="A3408" t="str">
        <f>"27/11/2012"</f>
        <v>27/11/2012</v>
      </c>
      <c r="B3408">
        <v>1</v>
      </c>
      <c r="C3408">
        <v>31000</v>
      </c>
      <c r="D3408">
        <v>30415</v>
      </c>
      <c r="E3408">
        <v>30415</v>
      </c>
      <c r="F3408">
        <v>30415</v>
      </c>
      <c r="G3408" s="1">
        <v>0.02</v>
      </c>
      <c r="H3408" s="1">
        <v>1.9900000000000001E-2</v>
      </c>
      <c r="I3408" s="1">
        <v>1.9900000000000001E-2</v>
      </c>
      <c r="J3408" s="1">
        <v>1</v>
      </c>
    </row>
    <row r="3409" spans="1:10" x14ac:dyDescent="0.2">
      <c r="A3409" t="str">
        <f>"26/11/2012"</f>
        <v>26/11/2012</v>
      </c>
      <c r="B3409">
        <v>1</v>
      </c>
      <c r="C3409">
        <v>33000</v>
      </c>
      <c r="D3409">
        <v>55457</v>
      </c>
      <c r="E3409">
        <v>33000</v>
      </c>
      <c r="F3409">
        <v>33000</v>
      </c>
      <c r="G3409" s="1">
        <v>0.02</v>
      </c>
      <c r="H3409" s="1">
        <v>1.9900000000000001E-2</v>
      </c>
      <c r="I3409" s="1">
        <v>1.9900000000000001E-2</v>
      </c>
      <c r="J3409" s="1">
        <v>0.40589999999999998</v>
      </c>
    </row>
    <row r="3410" spans="1:10" x14ac:dyDescent="0.2">
      <c r="A3410" t="str">
        <f>"25/11/2012"</f>
        <v>25/11/2012</v>
      </c>
      <c r="B3410">
        <v>1</v>
      </c>
      <c r="C3410">
        <v>33000</v>
      </c>
      <c r="D3410">
        <v>80108</v>
      </c>
      <c r="E3410">
        <v>33000</v>
      </c>
      <c r="F3410">
        <v>33000</v>
      </c>
      <c r="G3410" s="1">
        <v>0.02</v>
      </c>
      <c r="H3410" s="1">
        <v>1.9900000000000001E-2</v>
      </c>
      <c r="I3410" s="1">
        <v>1.9900000000000001E-2</v>
      </c>
      <c r="J3410" s="1">
        <v>0.25180000000000002</v>
      </c>
    </row>
    <row r="3411" spans="1:10" x14ac:dyDescent="0.2">
      <c r="A3411" t="str">
        <f>"22/11/2012"</f>
        <v>22/11/2012</v>
      </c>
      <c r="B3411">
        <v>3</v>
      </c>
      <c r="C3411">
        <v>32000</v>
      </c>
      <c r="D3411">
        <v>78092</v>
      </c>
      <c r="E3411">
        <v>32000</v>
      </c>
      <c r="F3411">
        <v>32000</v>
      </c>
      <c r="G3411" s="1">
        <v>0.02</v>
      </c>
      <c r="H3411" s="1">
        <v>1.9900000000000001E-2</v>
      </c>
      <c r="I3411" s="1">
        <v>1.9900000000000001E-2</v>
      </c>
      <c r="J3411" s="1">
        <v>0.22509999999999999</v>
      </c>
    </row>
    <row r="3412" spans="1:10" x14ac:dyDescent="0.2">
      <c r="A3412" t="str">
        <f>"21/11/2012"</f>
        <v>21/11/2012</v>
      </c>
      <c r="B3412">
        <v>1</v>
      </c>
      <c r="C3412">
        <v>32000</v>
      </c>
      <c r="D3412">
        <v>97920</v>
      </c>
      <c r="E3412">
        <v>32000</v>
      </c>
      <c r="F3412">
        <v>32000</v>
      </c>
      <c r="G3412" s="1">
        <v>0.02</v>
      </c>
      <c r="H3412" s="1">
        <v>1.9900000000000001E-2</v>
      </c>
      <c r="I3412" s="1">
        <v>1.9900000000000001E-2</v>
      </c>
      <c r="J3412" s="1">
        <v>0.1852</v>
      </c>
    </row>
    <row r="3413" spans="1:10" x14ac:dyDescent="0.2">
      <c r="A3413" t="str">
        <f>"20/11/2012"</f>
        <v>20/11/2012</v>
      </c>
      <c r="B3413">
        <v>1</v>
      </c>
      <c r="C3413">
        <v>32000</v>
      </c>
      <c r="D3413">
        <v>87229</v>
      </c>
      <c r="E3413">
        <v>32000</v>
      </c>
      <c r="F3413">
        <v>32000</v>
      </c>
      <c r="G3413" s="1">
        <v>0.02</v>
      </c>
      <c r="H3413" s="1">
        <v>1.9900000000000001E-2</v>
      </c>
      <c r="I3413" s="1">
        <v>1.9900000000000001E-2</v>
      </c>
      <c r="J3413" s="1">
        <v>0.2175</v>
      </c>
    </row>
    <row r="3414" spans="1:10" x14ac:dyDescent="0.2">
      <c r="A3414" t="str">
        <f>"19/11/2012"</f>
        <v>19/11/2012</v>
      </c>
      <c r="B3414">
        <v>1</v>
      </c>
      <c r="C3414">
        <v>34000</v>
      </c>
      <c r="D3414">
        <v>89809</v>
      </c>
      <c r="E3414">
        <v>34000</v>
      </c>
      <c r="F3414">
        <v>34000</v>
      </c>
      <c r="G3414" s="1">
        <v>0.02</v>
      </c>
      <c r="H3414" s="1">
        <v>1.9900000000000001E-2</v>
      </c>
      <c r="I3414" s="1">
        <v>1.9900000000000001E-2</v>
      </c>
      <c r="J3414" s="1">
        <v>0.22459999999999999</v>
      </c>
    </row>
    <row r="3415" spans="1:10" x14ac:dyDescent="0.2">
      <c r="A3415" t="str">
        <f>"18/11/2012"</f>
        <v>18/11/2012</v>
      </c>
      <c r="B3415">
        <v>1</v>
      </c>
      <c r="C3415">
        <v>34000</v>
      </c>
      <c r="D3415">
        <v>78389</v>
      </c>
      <c r="E3415">
        <v>34000</v>
      </c>
      <c r="F3415">
        <v>34000</v>
      </c>
      <c r="G3415" s="1">
        <v>0.02</v>
      </c>
      <c r="H3415" s="1">
        <v>0.02</v>
      </c>
      <c r="I3415" s="1">
        <v>0.02</v>
      </c>
      <c r="J3415" s="1">
        <v>0.28079999999999999</v>
      </c>
    </row>
    <row r="3416" spans="1:10" x14ac:dyDescent="0.2">
      <c r="A3416" t="str">
        <f>"15/11/2012"</f>
        <v>15/11/2012</v>
      </c>
      <c r="B3416">
        <v>3</v>
      </c>
      <c r="C3416">
        <v>35000</v>
      </c>
      <c r="D3416">
        <v>70656</v>
      </c>
      <c r="E3416">
        <v>35000</v>
      </c>
      <c r="F3416">
        <v>35000</v>
      </c>
      <c r="G3416" s="1">
        <v>0.02</v>
      </c>
      <c r="H3416" s="1">
        <v>0.02</v>
      </c>
      <c r="I3416" s="1">
        <v>0.02</v>
      </c>
      <c r="J3416" s="1">
        <v>0.33029999999999998</v>
      </c>
    </row>
    <row r="3417" spans="1:10" x14ac:dyDescent="0.2">
      <c r="A3417" t="str">
        <f>"15/11/2012"</f>
        <v>15/11/2012</v>
      </c>
      <c r="B3417">
        <v>1</v>
      </c>
      <c r="C3417">
        <v>11000</v>
      </c>
      <c r="D3417">
        <v>10520</v>
      </c>
      <c r="E3417">
        <v>10520</v>
      </c>
      <c r="F3417">
        <v>10520</v>
      </c>
      <c r="G3417" s="1">
        <v>0.02</v>
      </c>
      <c r="H3417" s="1">
        <v>0.02</v>
      </c>
      <c r="I3417" s="1">
        <v>0.02</v>
      </c>
      <c r="J3417" s="1">
        <v>1</v>
      </c>
    </row>
    <row r="3418" spans="1:10" x14ac:dyDescent="0.2">
      <c r="A3418" t="str">
        <f>"14/11/2012"</f>
        <v>14/11/2012</v>
      </c>
      <c r="B3418">
        <v>1</v>
      </c>
      <c r="C3418">
        <v>41000</v>
      </c>
      <c r="D3418">
        <v>93822</v>
      </c>
      <c r="E3418">
        <v>41000</v>
      </c>
      <c r="F3418">
        <v>41000</v>
      </c>
      <c r="G3418" s="1">
        <v>0.02</v>
      </c>
      <c r="H3418" s="1">
        <v>0.02</v>
      </c>
      <c r="I3418" s="1">
        <v>0.02</v>
      </c>
      <c r="J3418" s="1">
        <v>0.30590000000000001</v>
      </c>
    </row>
    <row r="3419" spans="1:10" x14ac:dyDescent="0.2">
      <c r="A3419" t="str">
        <f>"13/11/2012"</f>
        <v>13/11/2012</v>
      </c>
      <c r="B3419">
        <v>1</v>
      </c>
      <c r="C3419">
        <v>41000</v>
      </c>
      <c r="D3419">
        <v>94424</v>
      </c>
      <c r="E3419">
        <v>41000</v>
      </c>
      <c r="F3419">
        <v>41000</v>
      </c>
      <c r="G3419" s="1">
        <v>0.02</v>
      </c>
      <c r="H3419" s="1">
        <v>0.02</v>
      </c>
      <c r="I3419" s="1">
        <v>0.02</v>
      </c>
      <c r="J3419" s="1">
        <v>0.3075</v>
      </c>
    </row>
    <row r="3420" spans="1:10" x14ac:dyDescent="0.2">
      <c r="A3420" t="str">
        <f>"12/11/2012"</f>
        <v>12/11/2012</v>
      </c>
      <c r="B3420">
        <v>1</v>
      </c>
      <c r="C3420">
        <v>42000</v>
      </c>
      <c r="D3420">
        <v>97045</v>
      </c>
      <c r="E3420">
        <v>42000</v>
      </c>
      <c r="F3420">
        <v>42000</v>
      </c>
      <c r="G3420" s="1">
        <v>0.02</v>
      </c>
      <c r="H3420" s="1">
        <v>0.02</v>
      </c>
      <c r="I3420" s="1">
        <v>0.02</v>
      </c>
      <c r="J3420" s="1">
        <v>0.31009999999999999</v>
      </c>
    </row>
    <row r="3421" spans="1:10" x14ac:dyDescent="0.2">
      <c r="A3421" t="str">
        <f>"11/11/2012"</f>
        <v>11/11/2012</v>
      </c>
      <c r="B3421">
        <v>1</v>
      </c>
      <c r="C3421">
        <v>42000</v>
      </c>
      <c r="D3421">
        <v>92730</v>
      </c>
      <c r="E3421">
        <v>42000</v>
      </c>
      <c r="F3421">
        <v>42000</v>
      </c>
      <c r="G3421" s="1">
        <v>0.02</v>
      </c>
      <c r="H3421" s="1">
        <v>0.02</v>
      </c>
      <c r="I3421" s="1">
        <v>0.02</v>
      </c>
      <c r="J3421" s="1">
        <v>0.3266</v>
      </c>
    </row>
    <row r="3422" spans="1:10" x14ac:dyDescent="0.2">
      <c r="A3422" t="str">
        <f>"08/11/2012"</f>
        <v>08/11/2012</v>
      </c>
      <c r="B3422">
        <v>3</v>
      </c>
      <c r="C3422">
        <v>42000</v>
      </c>
      <c r="D3422">
        <v>90255</v>
      </c>
      <c r="E3422">
        <v>42000</v>
      </c>
      <c r="F3422">
        <v>42000</v>
      </c>
      <c r="G3422" s="1">
        <v>0.02</v>
      </c>
      <c r="H3422" s="1">
        <v>0.02</v>
      </c>
      <c r="I3422" s="1">
        <v>0.02</v>
      </c>
      <c r="J3422" s="1">
        <v>0.33989999999999998</v>
      </c>
    </row>
    <row r="3423" spans="1:10" x14ac:dyDescent="0.2">
      <c r="A3423" t="str">
        <f>"07/11/2012"</f>
        <v>07/11/2012</v>
      </c>
      <c r="B3423">
        <v>1</v>
      </c>
      <c r="C3423">
        <v>42000</v>
      </c>
      <c r="D3423">
        <v>82512</v>
      </c>
      <c r="E3423">
        <v>42000</v>
      </c>
      <c r="F3423">
        <v>42000</v>
      </c>
      <c r="G3423" s="1">
        <v>0.02</v>
      </c>
      <c r="H3423" s="1">
        <v>0.02</v>
      </c>
      <c r="I3423" s="1">
        <v>0.02</v>
      </c>
      <c r="J3423" s="1">
        <v>0.35360000000000003</v>
      </c>
    </row>
    <row r="3424" spans="1:10" x14ac:dyDescent="0.2">
      <c r="A3424" t="str">
        <f>"06/11/2012"</f>
        <v>06/11/2012</v>
      </c>
      <c r="B3424">
        <v>1</v>
      </c>
      <c r="C3424">
        <v>53000</v>
      </c>
      <c r="D3424">
        <v>105375</v>
      </c>
      <c r="E3424">
        <v>53000</v>
      </c>
      <c r="F3424">
        <v>53000</v>
      </c>
      <c r="G3424" s="1">
        <v>0.02</v>
      </c>
      <c r="H3424" s="1">
        <v>0.02</v>
      </c>
      <c r="I3424" s="1">
        <v>0.02</v>
      </c>
      <c r="J3424" s="1">
        <v>0.38829999999999998</v>
      </c>
    </row>
    <row r="3425" spans="1:10" x14ac:dyDescent="0.2">
      <c r="A3425" t="str">
        <f>"05/11/2012"</f>
        <v>05/11/2012</v>
      </c>
      <c r="B3425">
        <v>1</v>
      </c>
      <c r="C3425">
        <v>53000</v>
      </c>
      <c r="D3425">
        <v>96290</v>
      </c>
      <c r="E3425">
        <v>53000</v>
      </c>
      <c r="F3425">
        <v>53000</v>
      </c>
      <c r="G3425" s="1">
        <v>0.02</v>
      </c>
      <c r="H3425" s="1">
        <v>0.02</v>
      </c>
      <c r="I3425" s="1">
        <v>0.02</v>
      </c>
      <c r="J3425" s="1">
        <v>0.46750000000000003</v>
      </c>
    </row>
    <row r="3426" spans="1:10" x14ac:dyDescent="0.2">
      <c r="A3426" t="str">
        <f>"04/11/2012"</f>
        <v>04/11/2012</v>
      </c>
      <c r="B3426">
        <v>1</v>
      </c>
      <c r="C3426">
        <v>54000</v>
      </c>
      <c r="D3426">
        <v>75060</v>
      </c>
      <c r="E3426">
        <v>54000</v>
      </c>
      <c r="F3426">
        <v>54000</v>
      </c>
      <c r="G3426" s="1">
        <v>0.02</v>
      </c>
      <c r="H3426" s="1">
        <v>0.02</v>
      </c>
      <c r="I3426" s="1">
        <v>0.02</v>
      </c>
      <c r="J3426" s="1">
        <v>0.65669999999999995</v>
      </c>
    </row>
    <row r="3427" spans="1:10" x14ac:dyDescent="0.2">
      <c r="A3427" t="str">
        <f>"01/11/2012"</f>
        <v>01/11/2012</v>
      </c>
      <c r="B3427">
        <v>3</v>
      </c>
      <c r="C3427">
        <v>55000</v>
      </c>
      <c r="D3427">
        <v>63955</v>
      </c>
      <c r="E3427">
        <v>55000</v>
      </c>
      <c r="F3427">
        <v>55000</v>
      </c>
      <c r="G3427" s="1">
        <v>0.02</v>
      </c>
      <c r="H3427" s="1">
        <v>0.02</v>
      </c>
      <c r="I3427" s="1">
        <v>0.02</v>
      </c>
      <c r="J3427" s="1">
        <v>0.82010000000000005</v>
      </c>
    </row>
    <row r="3428" spans="1:10" x14ac:dyDescent="0.2">
      <c r="A3428" t="str">
        <f>"31/10/2012"</f>
        <v>31/10/2012</v>
      </c>
      <c r="B3428">
        <v>1</v>
      </c>
      <c r="C3428">
        <v>47000</v>
      </c>
      <c r="D3428">
        <v>48260</v>
      </c>
      <c r="E3428">
        <v>47000</v>
      </c>
      <c r="F3428">
        <v>47000</v>
      </c>
      <c r="G3428" s="1">
        <v>2.2499999999999999E-2</v>
      </c>
      <c r="H3428" s="1">
        <v>2.24E-2</v>
      </c>
      <c r="I3428" s="1">
        <v>2.24E-2</v>
      </c>
      <c r="J3428" s="1">
        <v>0.92920000000000003</v>
      </c>
    </row>
    <row r="3429" spans="1:10" x14ac:dyDescent="0.2">
      <c r="A3429" t="str">
        <f>"30/10/2012"</f>
        <v>30/10/2012</v>
      </c>
      <c r="B3429">
        <v>1</v>
      </c>
      <c r="C3429">
        <v>28000</v>
      </c>
      <c r="D3429">
        <v>42597</v>
      </c>
      <c r="E3429">
        <v>28000</v>
      </c>
      <c r="F3429">
        <v>28000</v>
      </c>
      <c r="G3429" s="1">
        <v>2.2499999999999999E-2</v>
      </c>
      <c r="H3429" s="1">
        <v>2.24E-2</v>
      </c>
      <c r="I3429" s="1">
        <v>2.24E-2</v>
      </c>
      <c r="J3429" s="1">
        <v>0.42530000000000001</v>
      </c>
    </row>
    <row r="3430" spans="1:10" x14ac:dyDescent="0.2">
      <c r="A3430" t="str">
        <f>"29/10/2012"</f>
        <v>29/10/2012</v>
      </c>
      <c r="B3430">
        <v>1</v>
      </c>
      <c r="C3430">
        <v>29000</v>
      </c>
      <c r="D3430">
        <v>44193</v>
      </c>
      <c r="E3430">
        <v>29000</v>
      </c>
      <c r="F3430">
        <v>29000</v>
      </c>
      <c r="G3430" s="1">
        <v>2.2499999999999999E-2</v>
      </c>
      <c r="H3430" s="1">
        <v>2.24E-2</v>
      </c>
      <c r="I3430" s="1">
        <v>2.24E-2</v>
      </c>
      <c r="J3430" s="1">
        <v>0.4335</v>
      </c>
    </row>
    <row r="3431" spans="1:10" x14ac:dyDescent="0.2">
      <c r="A3431" t="str">
        <f>"28/10/2012"</f>
        <v>28/10/2012</v>
      </c>
      <c r="B3431">
        <v>1</v>
      </c>
      <c r="C3431">
        <v>29000</v>
      </c>
      <c r="D3431">
        <v>51025</v>
      </c>
      <c r="E3431">
        <v>29000</v>
      </c>
      <c r="F3431">
        <v>29000</v>
      </c>
      <c r="G3431" s="1">
        <v>2.2499999999999999E-2</v>
      </c>
      <c r="H3431" s="1">
        <v>2.24E-2</v>
      </c>
      <c r="I3431" s="1">
        <v>2.24E-2</v>
      </c>
      <c r="J3431" s="1">
        <v>0.37519999999999998</v>
      </c>
    </row>
    <row r="3432" spans="1:10" x14ac:dyDescent="0.2">
      <c r="A3432" t="str">
        <f>"25/10/2012"</f>
        <v>25/10/2012</v>
      </c>
      <c r="B3432">
        <v>3</v>
      </c>
      <c r="C3432">
        <v>30000</v>
      </c>
      <c r="D3432">
        <v>62189</v>
      </c>
      <c r="E3432">
        <v>30000</v>
      </c>
      <c r="F3432">
        <v>30000</v>
      </c>
      <c r="G3432" s="1">
        <v>2.2499999999999999E-2</v>
      </c>
      <c r="H3432" s="1">
        <v>2.24E-2</v>
      </c>
      <c r="I3432" s="1">
        <v>2.24E-2</v>
      </c>
      <c r="J3432" s="1">
        <v>0.29659999999999997</v>
      </c>
    </row>
    <row r="3433" spans="1:10" x14ac:dyDescent="0.2">
      <c r="A3433" t="str">
        <f>"24/10/2012"</f>
        <v>24/10/2012</v>
      </c>
      <c r="B3433">
        <v>1</v>
      </c>
      <c r="C3433">
        <v>29000</v>
      </c>
      <c r="D3433">
        <v>83490</v>
      </c>
      <c r="E3433">
        <v>29000</v>
      </c>
      <c r="F3433">
        <v>29000</v>
      </c>
      <c r="G3433" s="1">
        <v>2.2499999999999999E-2</v>
      </c>
      <c r="H3433" s="1">
        <v>2.24E-2</v>
      </c>
      <c r="I3433" s="1">
        <v>2.24E-2</v>
      </c>
      <c r="J3433" s="1">
        <v>0.1845</v>
      </c>
    </row>
    <row r="3434" spans="1:10" x14ac:dyDescent="0.2">
      <c r="A3434" t="str">
        <f>"23/10/2012"</f>
        <v>23/10/2012</v>
      </c>
      <c r="B3434">
        <v>1</v>
      </c>
      <c r="C3434">
        <v>26000</v>
      </c>
      <c r="D3434">
        <v>77435</v>
      </c>
      <c r="E3434">
        <v>26000</v>
      </c>
      <c r="F3434">
        <v>26000</v>
      </c>
      <c r="G3434" s="1">
        <v>2.2499999999999999E-2</v>
      </c>
      <c r="H3434" s="1">
        <v>2.2499999999999999E-2</v>
      </c>
      <c r="I3434" s="1">
        <v>2.2499999999999999E-2</v>
      </c>
      <c r="J3434" s="1">
        <v>0.2099</v>
      </c>
    </row>
    <row r="3435" spans="1:10" x14ac:dyDescent="0.2">
      <c r="A3435" t="str">
        <f>"22/10/2012"</f>
        <v>22/10/2012</v>
      </c>
      <c r="B3435">
        <v>1</v>
      </c>
      <c r="C3435">
        <v>28000</v>
      </c>
      <c r="D3435">
        <v>58047</v>
      </c>
      <c r="E3435">
        <v>28000</v>
      </c>
      <c r="F3435">
        <v>28000</v>
      </c>
      <c r="G3435" s="1">
        <v>2.2499999999999999E-2</v>
      </c>
      <c r="H3435" s="1">
        <v>2.24E-2</v>
      </c>
      <c r="I3435" s="1">
        <v>2.24E-2</v>
      </c>
      <c r="J3435" s="1">
        <v>0.31680000000000003</v>
      </c>
    </row>
    <row r="3436" spans="1:10" x14ac:dyDescent="0.2">
      <c r="A3436" t="str">
        <f>"21/10/2012"</f>
        <v>21/10/2012</v>
      </c>
      <c r="B3436">
        <v>1</v>
      </c>
      <c r="C3436">
        <v>29000</v>
      </c>
      <c r="D3436">
        <v>47777</v>
      </c>
      <c r="E3436">
        <v>29000</v>
      </c>
      <c r="F3436">
        <v>29000</v>
      </c>
      <c r="G3436" s="1">
        <v>2.2499999999999999E-2</v>
      </c>
      <c r="H3436" s="1">
        <v>2.2499999999999999E-2</v>
      </c>
      <c r="I3436" s="1">
        <v>2.2499999999999999E-2</v>
      </c>
      <c r="J3436" s="1">
        <v>0.45750000000000002</v>
      </c>
    </row>
    <row r="3437" spans="1:10" x14ac:dyDescent="0.2">
      <c r="A3437" t="str">
        <f>"18/10/2012"</f>
        <v>18/10/2012</v>
      </c>
      <c r="B3437">
        <v>3</v>
      </c>
      <c r="C3437">
        <v>28000</v>
      </c>
      <c r="D3437">
        <v>36995</v>
      </c>
      <c r="E3437">
        <v>28000</v>
      </c>
      <c r="F3437">
        <v>28000</v>
      </c>
      <c r="G3437" s="1">
        <v>2.2499999999999999E-2</v>
      </c>
      <c r="H3437" s="1">
        <v>2.2499999999999999E-2</v>
      </c>
      <c r="I3437" s="1">
        <v>2.2499999999999999E-2</v>
      </c>
      <c r="J3437" s="1">
        <v>0.66039999999999999</v>
      </c>
    </row>
    <row r="3438" spans="1:10" x14ac:dyDescent="0.2">
      <c r="A3438" t="str">
        <f>"17/10/2012"</f>
        <v>17/10/2012</v>
      </c>
      <c r="B3438">
        <v>1</v>
      </c>
      <c r="C3438">
        <v>18000</v>
      </c>
      <c r="D3438">
        <v>21740</v>
      </c>
      <c r="E3438">
        <v>18000</v>
      </c>
      <c r="F3438">
        <v>18000</v>
      </c>
      <c r="G3438" s="1">
        <v>2.2499999999999999E-2</v>
      </c>
      <c r="H3438" s="1">
        <v>2.2499999999999999E-2</v>
      </c>
      <c r="I3438" s="1">
        <v>2.2499999999999999E-2</v>
      </c>
      <c r="J3438" s="1">
        <v>0.74439999999999995</v>
      </c>
    </row>
    <row r="3439" spans="1:10" x14ac:dyDescent="0.2">
      <c r="A3439" t="str">
        <f>"16/10/2012"</f>
        <v>16/10/2012</v>
      </c>
      <c r="B3439">
        <v>1</v>
      </c>
      <c r="C3439">
        <v>18000</v>
      </c>
      <c r="D3439">
        <v>19927</v>
      </c>
      <c r="E3439">
        <v>18000</v>
      </c>
      <c r="F3439">
        <v>18000</v>
      </c>
      <c r="G3439" s="1">
        <v>2.2499999999999999E-2</v>
      </c>
      <c r="H3439" s="1">
        <v>2.2499999999999999E-2</v>
      </c>
      <c r="I3439" s="1">
        <v>2.2499999999999999E-2</v>
      </c>
      <c r="J3439" s="1">
        <v>0.85250000000000004</v>
      </c>
    </row>
    <row r="3440" spans="1:10" x14ac:dyDescent="0.2">
      <c r="A3440" t="str">
        <f>"15/10/2012"</f>
        <v>15/10/2012</v>
      </c>
      <c r="B3440">
        <v>1</v>
      </c>
      <c r="C3440">
        <v>29000</v>
      </c>
      <c r="D3440">
        <v>20010</v>
      </c>
      <c r="E3440">
        <v>20010</v>
      </c>
      <c r="F3440">
        <v>20010</v>
      </c>
      <c r="G3440" s="1">
        <v>2.2499999999999999E-2</v>
      </c>
      <c r="H3440" s="1">
        <v>2.2499999999999999E-2</v>
      </c>
      <c r="I3440" s="1">
        <v>2.2499999999999999E-2</v>
      </c>
      <c r="J3440" s="1">
        <v>1</v>
      </c>
    </row>
    <row r="3441" spans="1:10" x14ac:dyDescent="0.2">
      <c r="A3441" t="str">
        <f>"14/10/2012"</f>
        <v>14/10/2012</v>
      </c>
      <c r="B3441">
        <v>1</v>
      </c>
      <c r="C3441">
        <v>32000</v>
      </c>
      <c r="D3441">
        <v>31513</v>
      </c>
      <c r="E3441">
        <v>31513</v>
      </c>
      <c r="F3441">
        <v>31513</v>
      </c>
      <c r="G3441" s="1">
        <v>2.2499999999999999E-2</v>
      </c>
      <c r="H3441" s="1">
        <v>2.2499999999999999E-2</v>
      </c>
      <c r="I3441" s="1">
        <v>2.2499999999999999E-2</v>
      </c>
      <c r="J3441" s="1">
        <v>1</v>
      </c>
    </row>
    <row r="3442" spans="1:10" x14ac:dyDescent="0.2">
      <c r="A3442" t="str">
        <f>"11/10/2012"</f>
        <v>11/10/2012</v>
      </c>
      <c r="B3442">
        <v>3</v>
      </c>
      <c r="C3442">
        <v>34000</v>
      </c>
      <c r="D3442">
        <v>42930</v>
      </c>
      <c r="E3442">
        <v>34000</v>
      </c>
      <c r="F3442">
        <v>34000</v>
      </c>
      <c r="G3442" s="1">
        <v>2.2499999999999999E-2</v>
      </c>
      <c r="H3442" s="1">
        <v>2.2499999999999999E-2</v>
      </c>
      <c r="I3442" s="1">
        <v>2.2499999999999999E-2</v>
      </c>
      <c r="J3442" s="1">
        <v>0.72919999999999996</v>
      </c>
    </row>
    <row r="3443" spans="1:10" x14ac:dyDescent="0.2">
      <c r="A3443" t="str">
        <f>"10/10/2012"</f>
        <v>10/10/2012</v>
      </c>
      <c r="B3443">
        <v>1</v>
      </c>
      <c r="C3443">
        <v>34000</v>
      </c>
      <c r="D3443">
        <v>57105</v>
      </c>
      <c r="E3443">
        <v>34000</v>
      </c>
      <c r="F3443">
        <v>34000</v>
      </c>
      <c r="G3443" s="1">
        <v>2.2499999999999999E-2</v>
      </c>
      <c r="H3443" s="1">
        <v>2.2499999999999999E-2</v>
      </c>
      <c r="I3443" s="1">
        <v>2.2499999999999999E-2</v>
      </c>
      <c r="J3443" s="1">
        <v>0.48559999999999998</v>
      </c>
    </row>
    <row r="3444" spans="1:10" x14ac:dyDescent="0.2">
      <c r="A3444" t="str">
        <f>"09/10/2012"</f>
        <v>09/10/2012</v>
      </c>
      <c r="B3444">
        <v>1</v>
      </c>
      <c r="C3444">
        <v>35000</v>
      </c>
      <c r="D3444">
        <v>57173</v>
      </c>
      <c r="E3444">
        <v>35000</v>
      </c>
      <c r="F3444">
        <v>35000</v>
      </c>
      <c r="G3444" s="1">
        <v>2.2499999999999999E-2</v>
      </c>
      <c r="H3444" s="1">
        <v>2.2499999999999999E-2</v>
      </c>
      <c r="I3444" s="1">
        <v>2.2499999999999999E-2</v>
      </c>
      <c r="J3444" s="1">
        <v>0.52880000000000005</v>
      </c>
    </row>
    <row r="3445" spans="1:10" x14ac:dyDescent="0.2">
      <c r="A3445" t="str">
        <f>"04/10/2012"</f>
        <v>04/10/2012</v>
      </c>
      <c r="B3445">
        <v>5</v>
      </c>
      <c r="C3445">
        <v>36000</v>
      </c>
      <c r="D3445">
        <v>54250</v>
      </c>
      <c r="E3445">
        <v>36000</v>
      </c>
      <c r="F3445">
        <v>36000</v>
      </c>
      <c r="G3445" s="1">
        <v>2.2499999999999999E-2</v>
      </c>
      <c r="H3445" s="1">
        <v>2.2499999999999999E-2</v>
      </c>
      <c r="I3445" s="1">
        <v>2.2499999999999999E-2</v>
      </c>
      <c r="J3445" s="1">
        <v>0.53820000000000001</v>
      </c>
    </row>
    <row r="3446" spans="1:10" x14ac:dyDescent="0.2">
      <c r="A3446" t="str">
        <f>"03/10/2012"</f>
        <v>03/10/2012</v>
      </c>
      <c r="B3446">
        <v>1</v>
      </c>
      <c r="C3446">
        <v>41000</v>
      </c>
      <c r="D3446">
        <v>63865</v>
      </c>
      <c r="E3446">
        <v>41000</v>
      </c>
      <c r="F3446">
        <v>41000</v>
      </c>
      <c r="G3446" s="1">
        <v>2.2499999999999999E-2</v>
      </c>
      <c r="H3446" s="1">
        <v>2.2499999999999999E-2</v>
      </c>
      <c r="I3446" s="1">
        <v>2.2499999999999999E-2</v>
      </c>
      <c r="J3446" s="1">
        <v>0.53129999999999999</v>
      </c>
    </row>
    <row r="3447" spans="1:10" x14ac:dyDescent="0.2">
      <c r="A3447" t="str">
        <f>"02/10/2012"</f>
        <v>02/10/2012</v>
      </c>
      <c r="B3447">
        <v>1</v>
      </c>
      <c r="C3447">
        <v>37000</v>
      </c>
      <c r="D3447">
        <v>53989</v>
      </c>
      <c r="E3447">
        <v>37000</v>
      </c>
      <c r="F3447">
        <v>37000</v>
      </c>
      <c r="G3447" s="1">
        <v>2.2499999999999999E-2</v>
      </c>
      <c r="H3447" s="1">
        <v>2.2499999999999999E-2</v>
      </c>
      <c r="I3447" s="1">
        <v>2.2499999999999999E-2</v>
      </c>
      <c r="J3447" s="1">
        <v>0.55579999999999996</v>
      </c>
    </row>
    <row r="3448" spans="1:10" x14ac:dyDescent="0.2">
      <c r="A3448" t="str">
        <f>"27/09/2012"</f>
        <v>27/09/2012</v>
      </c>
      <c r="B3448">
        <v>5</v>
      </c>
      <c r="C3448">
        <v>31000</v>
      </c>
      <c r="D3448">
        <v>36187</v>
      </c>
      <c r="E3448">
        <v>31000</v>
      </c>
      <c r="F3448">
        <v>31000</v>
      </c>
      <c r="G3448" s="1">
        <v>2.2499999999999999E-2</v>
      </c>
      <c r="H3448" s="1">
        <v>2.2499999999999999E-2</v>
      </c>
      <c r="I3448" s="1">
        <v>2.2499999999999999E-2</v>
      </c>
      <c r="J3448" s="1">
        <v>0.77180000000000004</v>
      </c>
    </row>
    <row r="3449" spans="1:10" x14ac:dyDescent="0.2">
      <c r="A3449" t="str">
        <f>"24/09/2012"</f>
        <v>24/09/2012</v>
      </c>
      <c r="B3449">
        <v>3</v>
      </c>
      <c r="C3449">
        <v>21000</v>
      </c>
      <c r="D3449">
        <v>19984</v>
      </c>
      <c r="E3449">
        <v>19984</v>
      </c>
      <c r="F3449">
        <v>19984</v>
      </c>
      <c r="G3449" s="1">
        <v>2.2499999999999999E-2</v>
      </c>
      <c r="H3449" s="1">
        <v>2.24E-2</v>
      </c>
      <c r="I3449" s="1">
        <v>2.24E-2</v>
      </c>
      <c r="J3449" s="1">
        <v>1</v>
      </c>
    </row>
    <row r="3450" spans="1:10" x14ac:dyDescent="0.2">
      <c r="A3450" t="str">
        <f>"23/09/2012"</f>
        <v>23/09/2012</v>
      </c>
      <c r="B3450">
        <v>1</v>
      </c>
      <c r="C3450">
        <v>20000</v>
      </c>
      <c r="D3450">
        <v>33142</v>
      </c>
      <c r="E3450">
        <v>20000</v>
      </c>
      <c r="F3450">
        <v>20000</v>
      </c>
      <c r="G3450" s="1">
        <v>2.2499999999999999E-2</v>
      </c>
      <c r="H3450" s="1">
        <v>2.24E-2</v>
      </c>
      <c r="I3450" s="1">
        <v>2.24E-2</v>
      </c>
      <c r="J3450" s="1">
        <v>0.37419999999999998</v>
      </c>
    </row>
    <row r="3451" spans="1:10" x14ac:dyDescent="0.2">
      <c r="A3451" t="str">
        <f>"20/09/2012"</f>
        <v>20/09/2012</v>
      </c>
      <c r="B3451">
        <v>3</v>
      </c>
      <c r="C3451">
        <v>25000</v>
      </c>
      <c r="D3451">
        <v>40360</v>
      </c>
      <c r="E3451">
        <v>25000</v>
      </c>
      <c r="F3451">
        <v>25000</v>
      </c>
      <c r="G3451" s="1">
        <v>2.2499999999999999E-2</v>
      </c>
      <c r="H3451" s="1">
        <v>2.2499999999999999E-2</v>
      </c>
      <c r="I3451" s="1">
        <v>2.2499999999999999E-2</v>
      </c>
      <c r="J3451" s="1">
        <v>0.45140000000000002</v>
      </c>
    </row>
    <row r="3452" spans="1:10" x14ac:dyDescent="0.2">
      <c r="A3452" t="str">
        <f>"20/09/2012"</f>
        <v>20/09/2012</v>
      </c>
      <c r="B3452">
        <v>1</v>
      </c>
      <c r="C3452">
        <v>10000</v>
      </c>
      <c r="D3452">
        <v>9800</v>
      </c>
      <c r="E3452">
        <v>9800</v>
      </c>
      <c r="F3452">
        <v>9800</v>
      </c>
      <c r="G3452" s="1">
        <v>2.2499999999999999E-2</v>
      </c>
      <c r="H3452" s="1">
        <v>2.2499999999999999E-2</v>
      </c>
      <c r="I3452" s="1">
        <v>2.2499999999999999E-2</v>
      </c>
      <c r="J3452" s="1">
        <v>1</v>
      </c>
    </row>
    <row r="3453" spans="1:10" x14ac:dyDescent="0.2">
      <c r="A3453" t="str">
        <f>"19/09/2012"</f>
        <v>19/09/2012</v>
      </c>
      <c r="B3453">
        <v>1</v>
      </c>
      <c r="C3453">
        <v>32000</v>
      </c>
      <c r="D3453">
        <v>72572</v>
      </c>
      <c r="E3453">
        <v>32000</v>
      </c>
      <c r="F3453">
        <v>32000</v>
      </c>
      <c r="G3453" s="1">
        <v>2.2499999999999999E-2</v>
      </c>
      <c r="H3453" s="1">
        <v>2.2499999999999999E-2</v>
      </c>
      <c r="I3453" s="1">
        <v>2.2499999999999999E-2</v>
      </c>
      <c r="J3453" s="1">
        <v>0.28570000000000001</v>
      </c>
    </row>
    <row r="3454" spans="1:10" x14ac:dyDescent="0.2">
      <c r="A3454" t="str">
        <f>"13/09/2012"</f>
        <v>13/09/2012</v>
      </c>
      <c r="B3454">
        <v>6</v>
      </c>
      <c r="C3454">
        <v>34000</v>
      </c>
      <c r="D3454">
        <v>78559</v>
      </c>
      <c r="E3454">
        <v>34000</v>
      </c>
      <c r="F3454">
        <v>34000</v>
      </c>
      <c r="G3454" s="1">
        <v>2.2499999999999999E-2</v>
      </c>
      <c r="H3454" s="1">
        <v>2.24E-2</v>
      </c>
      <c r="I3454" s="1">
        <v>2.24E-2</v>
      </c>
      <c r="J3454" s="1">
        <v>0.25340000000000001</v>
      </c>
    </row>
    <row r="3455" spans="1:10" x14ac:dyDescent="0.2">
      <c r="A3455" t="str">
        <f>"12/09/2012"</f>
        <v>12/09/2012</v>
      </c>
      <c r="B3455">
        <v>1</v>
      </c>
      <c r="C3455">
        <v>37000</v>
      </c>
      <c r="D3455">
        <v>106562</v>
      </c>
      <c r="E3455">
        <v>37000</v>
      </c>
      <c r="F3455">
        <v>37000</v>
      </c>
      <c r="G3455" s="1">
        <v>2.2499999999999999E-2</v>
      </c>
      <c r="H3455" s="1">
        <v>2.24E-2</v>
      </c>
      <c r="I3455" s="1">
        <v>2.24E-2</v>
      </c>
      <c r="J3455" s="1">
        <v>0.19450000000000001</v>
      </c>
    </row>
    <row r="3456" spans="1:10" x14ac:dyDescent="0.2">
      <c r="A3456" t="str">
        <f>"11/09/2012"</f>
        <v>11/09/2012</v>
      </c>
      <c r="B3456">
        <v>1</v>
      </c>
      <c r="C3456">
        <v>36000</v>
      </c>
      <c r="D3456">
        <v>104513</v>
      </c>
      <c r="E3456">
        <v>36000</v>
      </c>
      <c r="F3456">
        <v>36000</v>
      </c>
      <c r="G3456" s="1">
        <v>2.2499999999999999E-2</v>
      </c>
      <c r="H3456" s="1">
        <v>2.24E-2</v>
      </c>
      <c r="I3456" s="1">
        <v>2.24E-2</v>
      </c>
      <c r="J3456" s="1">
        <v>0.1905</v>
      </c>
    </row>
    <row r="3457" spans="1:10" x14ac:dyDescent="0.2">
      <c r="A3457" t="str">
        <f>"10/09/2012"</f>
        <v>10/09/2012</v>
      </c>
      <c r="B3457">
        <v>1</v>
      </c>
      <c r="C3457">
        <v>37000</v>
      </c>
      <c r="D3457">
        <v>97171</v>
      </c>
      <c r="E3457">
        <v>37000</v>
      </c>
      <c r="F3457">
        <v>37000</v>
      </c>
      <c r="G3457" s="1">
        <v>2.2499999999999999E-2</v>
      </c>
      <c r="H3457" s="1">
        <v>2.24E-2</v>
      </c>
      <c r="I3457" s="1">
        <v>2.24E-2</v>
      </c>
      <c r="J3457" s="1">
        <v>0.2324</v>
      </c>
    </row>
    <row r="3458" spans="1:10" x14ac:dyDescent="0.2">
      <c r="A3458" t="str">
        <f>"09/09/2012"</f>
        <v>09/09/2012</v>
      </c>
      <c r="B3458">
        <v>1</v>
      </c>
      <c r="C3458">
        <v>38000</v>
      </c>
      <c r="D3458">
        <v>102465</v>
      </c>
      <c r="E3458">
        <v>38000</v>
      </c>
      <c r="F3458">
        <v>38000</v>
      </c>
      <c r="G3458" s="1">
        <v>2.2499999999999999E-2</v>
      </c>
      <c r="H3458" s="1">
        <v>2.2499999999999999E-2</v>
      </c>
      <c r="I3458" s="1">
        <v>2.2499999999999999E-2</v>
      </c>
      <c r="J3458" s="1">
        <v>0.2576</v>
      </c>
    </row>
    <row r="3459" spans="1:10" x14ac:dyDescent="0.2">
      <c r="A3459" t="str">
        <f>"06/09/2012"</f>
        <v>06/09/2012</v>
      </c>
      <c r="B3459">
        <v>3</v>
      </c>
      <c r="C3459">
        <v>38000</v>
      </c>
      <c r="D3459">
        <v>93530</v>
      </c>
      <c r="E3459">
        <v>38000</v>
      </c>
      <c r="F3459">
        <v>38000</v>
      </c>
      <c r="G3459" s="1">
        <v>2.2499999999999999E-2</v>
      </c>
      <c r="H3459" s="1">
        <v>2.2499999999999999E-2</v>
      </c>
      <c r="I3459" s="1">
        <v>2.2499999999999999E-2</v>
      </c>
      <c r="J3459" s="1">
        <v>0.2792</v>
      </c>
    </row>
    <row r="3460" spans="1:10" x14ac:dyDescent="0.2">
      <c r="A3460" t="str">
        <f>"05/09/2012"</f>
        <v>05/09/2012</v>
      </c>
      <c r="B3460">
        <v>1</v>
      </c>
      <c r="C3460">
        <v>38000</v>
      </c>
      <c r="D3460">
        <v>99880</v>
      </c>
      <c r="E3460">
        <v>38000</v>
      </c>
      <c r="F3460">
        <v>38000</v>
      </c>
      <c r="G3460" s="1">
        <v>2.2499999999999999E-2</v>
      </c>
      <c r="H3460" s="1">
        <v>2.2499999999999999E-2</v>
      </c>
      <c r="I3460" s="1">
        <v>2.2499999999999999E-2</v>
      </c>
      <c r="J3460" s="1">
        <v>0.26400000000000001</v>
      </c>
    </row>
    <row r="3461" spans="1:10" x14ac:dyDescent="0.2">
      <c r="A3461" t="str">
        <f>"04/09/2012"</f>
        <v>04/09/2012</v>
      </c>
      <c r="B3461">
        <v>1</v>
      </c>
      <c r="C3461">
        <v>34000</v>
      </c>
      <c r="D3461">
        <v>88951</v>
      </c>
      <c r="E3461">
        <v>34000</v>
      </c>
      <c r="F3461">
        <v>34000</v>
      </c>
      <c r="G3461" s="1">
        <v>2.2499999999999999E-2</v>
      </c>
      <c r="H3461" s="1">
        <v>2.2499999999999999E-2</v>
      </c>
      <c r="I3461" s="1">
        <v>2.2499999999999999E-2</v>
      </c>
      <c r="J3461" s="1">
        <v>0.2389</v>
      </c>
    </row>
    <row r="3462" spans="1:10" x14ac:dyDescent="0.2">
      <c r="A3462" t="str">
        <f>"03/09/2012"</f>
        <v>03/09/2012</v>
      </c>
      <c r="B3462">
        <v>1</v>
      </c>
      <c r="C3462">
        <v>35000</v>
      </c>
      <c r="D3462">
        <v>77483</v>
      </c>
      <c r="E3462">
        <v>35000</v>
      </c>
      <c r="F3462">
        <v>35000</v>
      </c>
      <c r="G3462" s="1">
        <v>2.2499999999999999E-2</v>
      </c>
      <c r="H3462" s="1">
        <v>2.2499999999999999E-2</v>
      </c>
      <c r="I3462" s="1">
        <v>2.2499999999999999E-2</v>
      </c>
      <c r="J3462" s="1">
        <v>0.32719999999999999</v>
      </c>
    </row>
    <row r="3463" spans="1:10" x14ac:dyDescent="0.2">
      <c r="A3463" t="str">
        <f>"02/09/2012"</f>
        <v>02/09/2012</v>
      </c>
      <c r="B3463">
        <v>1</v>
      </c>
      <c r="C3463">
        <v>35000</v>
      </c>
      <c r="D3463">
        <v>60972</v>
      </c>
      <c r="E3463">
        <v>35000</v>
      </c>
      <c r="F3463">
        <v>35000</v>
      </c>
      <c r="G3463" s="1">
        <v>2.2499999999999999E-2</v>
      </c>
      <c r="H3463" s="1">
        <v>2.2499999999999999E-2</v>
      </c>
      <c r="I3463" s="1">
        <v>2.2499999999999999E-2</v>
      </c>
      <c r="J3463" s="1">
        <v>0.45379999999999998</v>
      </c>
    </row>
    <row r="3464" spans="1:10" x14ac:dyDescent="0.2">
      <c r="A3464" t="str">
        <f>"30/08/2012"</f>
        <v>30/08/2012</v>
      </c>
      <c r="B3464">
        <v>3</v>
      </c>
      <c r="C3464">
        <v>22000</v>
      </c>
      <c r="D3464">
        <v>29660</v>
      </c>
      <c r="E3464">
        <v>22000</v>
      </c>
      <c r="F3464">
        <v>22000</v>
      </c>
      <c r="G3464" s="1">
        <v>2.2499999999999999E-2</v>
      </c>
      <c r="H3464" s="1">
        <v>2.2499999999999999E-2</v>
      </c>
      <c r="I3464" s="1">
        <v>2.2499999999999999E-2</v>
      </c>
      <c r="J3464" s="1">
        <v>0.60099999999999998</v>
      </c>
    </row>
    <row r="3465" spans="1:10" x14ac:dyDescent="0.2">
      <c r="A3465" t="str">
        <f>"29/08/2012"</f>
        <v>29/08/2012</v>
      </c>
      <c r="B3465">
        <v>1</v>
      </c>
      <c r="C3465">
        <v>19000</v>
      </c>
      <c r="D3465">
        <v>17816</v>
      </c>
      <c r="E3465">
        <v>17816</v>
      </c>
      <c r="F3465">
        <v>17816</v>
      </c>
      <c r="G3465" s="1">
        <v>2.2499999999999999E-2</v>
      </c>
      <c r="H3465" s="1">
        <v>2.24E-2</v>
      </c>
      <c r="I3465" s="1">
        <v>2.24E-2</v>
      </c>
      <c r="J3465" s="1">
        <v>1</v>
      </c>
    </row>
    <row r="3466" spans="1:10" x14ac:dyDescent="0.2">
      <c r="A3466" t="str">
        <f>"28/08/2012"</f>
        <v>28/08/2012</v>
      </c>
      <c r="B3466">
        <v>1</v>
      </c>
      <c r="C3466">
        <v>20000</v>
      </c>
      <c r="D3466">
        <v>21312</v>
      </c>
      <c r="E3466">
        <v>20000</v>
      </c>
      <c r="F3466">
        <v>20000</v>
      </c>
      <c r="G3466" s="1">
        <v>2.2499999999999999E-2</v>
      </c>
      <c r="H3466" s="1">
        <v>2.24E-2</v>
      </c>
      <c r="I3466" s="1">
        <v>2.24E-2</v>
      </c>
      <c r="J3466" s="1">
        <v>0.83599999999999997</v>
      </c>
    </row>
    <row r="3467" spans="1:10" x14ac:dyDescent="0.2">
      <c r="A3467" t="str">
        <f>"27/08/2012"</f>
        <v>27/08/2012</v>
      </c>
      <c r="B3467">
        <v>1</v>
      </c>
      <c r="C3467">
        <v>17000</v>
      </c>
      <c r="D3467">
        <v>20434</v>
      </c>
      <c r="E3467">
        <v>17000</v>
      </c>
      <c r="F3467">
        <v>17000</v>
      </c>
      <c r="G3467" s="1">
        <v>2.2499999999999999E-2</v>
      </c>
      <c r="H3467" s="1">
        <v>2.24E-2</v>
      </c>
      <c r="I3467" s="1">
        <v>2.24E-2</v>
      </c>
      <c r="J3467" s="1">
        <v>0.57079999999999997</v>
      </c>
    </row>
    <row r="3468" spans="1:10" x14ac:dyDescent="0.2">
      <c r="A3468" t="str">
        <f>"26/08/2012"</f>
        <v>26/08/2012</v>
      </c>
      <c r="B3468">
        <v>1</v>
      </c>
      <c r="C3468">
        <v>17000</v>
      </c>
      <c r="D3468">
        <v>22158</v>
      </c>
      <c r="E3468">
        <v>17000</v>
      </c>
      <c r="F3468">
        <v>17000</v>
      </c>
      <c r="G3468" s="1">
        <v>2.2499999999999999E-2</v>
      </c>
      <c r="H3468" s="1">
        <v>2.24E-2</v>
      </c>
      <c r="I3468" s="1">
        <v>2.24E-2</v>
      </c>
      <c r="J3468" s="1">
        <v>0.48420000000000002</v>
      </c>
    </row>
    <row r="3469" spans="1:10" x14ac:dyDescent="0.2">
      <c r="A3469" t="str">
        <f>"23/08/2012"</f>
        <v>23/08/2012</v>
      </c>
      <c r="B3469">
        <v>3</v>
      </c>
      <c r="C3469">
        <v>17000</v>
      </c>
      <c r="D3469">
        <v>26496</v>
      </c>
      <c r="E3469">
        <v>17000</v>
      </c>
      <c r="F3469">
        <v>17000</v>
      </c>
      <c r="G3469" s="1">
        <v>2.2499999999999999E-2</v>
      </c>
      <c r="H3469" s="1">
        <v>2.24E-2</v>
      </c>
      <c r="I3469" s="1">
        <v>2.24E-2</v>
      </c>
      <c r="J3469" s="1">
        <v>0.32179999999999997</v>
      </c>
    </row>
    <row r="3470" spans="1:10" x14ac:dyDescent="0.2">
      <c r="A3470" t="str">
        <f>"22/08/2012"</f>
        <v>22/08/2012</v>
      </c>
      <c r="B3470">
        <v>1</v>
      </c>
      <c r="C3470">
        <v>17000</v>
      </c>
      <c r="D3470">
        <v>35087</v>
      </c>
      <c r="E3470">
        <v>17000</v>
      </c>
      <c r="F3470">
        <v>17000</v>
      </c>
      <c r="G3470" s="1">
        <v>2.2499999999999999E-2</v>
      </c>
      <c r="H3470" s="1">
        <v>2.24E-2</v>
      </c>
      <c r="I3470" s="1">
        <v>2.24E-2</v>
      </c>
      <c r="J3470" s="1">
        <v>4.8099999999999997E-2</v>
      </c>
    </row>
    <row r="3471" spans="1:10" x14ac:dyDescent="0.2">
      <c r="A3471" t="str">
        <f>"21/08/2012"</f>
        <v>21/08/2012</v>
      </c>
      <c r="B3471">
        <v>1</v>
      </c>
      <c r="C3471">
        <v>17000</v>
      </c>
      <c r="D3471">
        <v>42126</v>
      </c>
      <c r="E3471">
        <v>17000</v>
      </c>
      <c r="F3471">
        <v>17000</v>
      </c>
      <c r="G3471" s="1">
        <v>2.2499999999999999E-2</v>
      </c>
      <c r="H3471" s="1">
        <v>2.24E-2</v>
      </c>
      <c r="I3471" s="1">
        <v>2.24E-2</v>
      </c>
      <c r="J3471" s="1">
        <v>8.2299999999999998E-2</v>
      </c>
    </row>
    <row r="3472" spans="1:10" x14ac:dyDescent="0.2">
      <c r="A3472" t="str">
        <f>"20/08/2012"</f>
        <v>20/08/2012</v>
      </c>
      <c r="B3472">
        <v>1</v>
      </c>
      <c r="C3472">
        <v>19000</v>
      </c>
      <c r="D3472">
        <v>40889</v>
      </c>
      <c r="E3472">
        <v>19000</v>
      </c>
      <c r="F3472">
        <v>19000</v>
      </c>
      <c r="G3472" s="1">
        <v>2.2499999999999999E-2</v>
      </c>
      <c r="H3472" s="1">
        <v>2.24E-2</v>
      </c>
      <c r="I3472" s="1">
        <v>2.24E-2</v>
      </c>
      <c r="J3472" s="1">
        <v>0.18720000000000001</v>
      </c>
    </row>
    <row r="3473" spans="1:10" x14ac:dyDescent="0.2">
      <c r="A3473" t="str">
        <f>"19/08/2012"</f>
        <v>19/08/2012</v>
      </c>
      <c r="B3473">
        <v>1</v>
      </c>
      <c r="C3473">
        <v>20000</v>
      </c>
      <c r="D3473">
        <v>34146</v>
      </c>
      <c r="E3473">
        <v>20000</v>
      </c>
      <c r="F3473">
        <v>20000</v>
      </c>
      <c r="G3473" s="1">
        <v>2.2499999999999999E-2</v>
      </c>
      <c r="H3473" s="1">
        <v>2.24E-2</v>
      </c>
      <c r="I3473" s="1">
        <v>2.24E-2</v>
      </c>
      <c r="J3473" s="1">
        <v>0.25469999999999998</v>
      </c>
    </row>
    <row r="3474" spans="1:10" x14ac:dyDescent="0.2">
      <c r="A3474" t="str">
        <f>"16/08/2012"</f>
        <v>16/08/2012</v>
      </c>
      <c r="B3474">
        <v>3</v>
      </c>
      <c r="C3474">
        <v>22000</v>
      </c>
      <c r="D3474">
        <v>33096</v>
      </c>
      <c r="E3474">
        <v>22000</v>
      </c>
      <c r="F3474">
        <v>22000</v>
      </c>
      <c r="G3474" s="1">
        <v>2.2499999999999999E-2</v>
      </c>
      <c r="H3474" s="1">
        <v>2.24E-2</v>
      </c>
      <c r="I3474" s="1">
        <v>2.24E-2</v>
      </c>
      <c r="J3474" s="1">
        <v>0.41749999999999998</v>
      </c>
    </row>
    <row r="3475" spans="1:10" x14ac:dyDescent="0.2">
      <c r="A3475" t="str">
        <f>"15/08/2012"</f>
        <v>15/08/2012</v>
      </c>
      <c r="B3475">
        <v>1</v>
      </c>
      <c r="C3475">
        <v>27000</v>
      </c>
      <c r="D3475">
        <v>54271</v>
      </c>
      <c r="E3475">
        <v>27000</v>
      </c>
      <c r="F3475">
        <v>27000</v>
      </c>
      <c r="G3475" s="1">
        <v>2.2499999999999999E-2</v>
      </c>
      <c r="H3475" s="1">
        <v>2.24E-2</v>
      </c>
      <c r="I3475" s="1">
        <v>2.24E-2</v>
      </c>
      <c r="J3475" s="1">
        <v>0.30020000000000002</v>
      </c>
    </row>
    <row r="3476" spans="1:10" x14ac:dyDescent="0.2">
      <c r="A3476" t="str">
        <f>"14/08/2012"</f>
        <v>14/08/2012</v>
      </c>
      <c r="B3476">
        <v>1</v>
      </c>
      <c r="C3476">
        <v>31000</v>
      </c>
      <c r="D3476">
        <v>66181</v>
      </c>
      <c r="E3476">
        <v>31000</v>
      </c>
      <c r="F3476">
        <v>31000</v>
      </c>
      <c r="G3476" s="1">
        <v>2.2499999999999999E-2</v>
      </c>
      <c r="H3476" s="1">
        <v>2.2499999999999999E-2</v>
      </c>
      <c r="I3476" s="1">
        <v>2.2499999999999999E-2</v>
      </c>
      <c r="J3476" s="1">
        <v>0.3165</v>
      </c>
    </row>
    <row r="3477" spans="1:10" x14ac:dyDescent="0.2">
      <c r="A3477" t="str">
        <f>"13/08/2012"</f>
        <v>13/08/2012</v>
      </c>
      <c r="B3477">
        <v>1</v>
      </c>
      <c r="C3477">
        <v>33000</v>
      </c>
      <c r="D3477">
        <v>81988</v>
      </c>
      <c r="E3477">
        <v>33000</v>
      </c>
      <c r="F3477">
        <v>33000</v>
      </c>
      <c r="G3477" s="1">
        <v>2.2499999999999999E-2</v>
      </c>
      <c r="H3477" s="1">
        <v>2.2499999999999999E-2</v>
      </c>
      <c r="I3477" s="1">
        <v>2.2499999999999999E-2</v>
      </c>
      <c r="J3477" s="1">
        <v>0.26269999999999999</v>
      </c>
    </row>
    <row r="3478" spans="1:10" x14ac:dyDescent="0.2">
      <c r="A3478" t="str">
        <f>"12/08/2012"</f>
        <v>12/08/2012</v>
      </c>
      <c r="B3478">
        <v>1</v>
      </c>
      <c r="C3478">
        <v>33000</v>
      </c>
      <c r="D3478">
        <v>91072</v>
      </c>
      <c r="E3478">
        <v>33000</v>
      </c>
      <c r="F3478">
        <v>33000</v>
      </c>
      <c r="G3478" s="1">
        <v>2.2499999999999999E-2</v>
      </c>
      <c r="H3478" s="1">
        <v>2.2499999999999999E-2</v>
      </c>
      <c r="I3478" s="1">
        <v>2.2499999999999999E-2</v>
      </c>
      <c r="J3478" s="1">
        <v>0.23749999999999999</v>
      </c>
    </row>
    <row r="3479" spans="1:10" x14ac:dyDescent="0.2">
      <c r="A3479" t="str">
        <f>"09/08/2012"</f>
        <v>09/08/2012</v>
      </c>
      <c r="B3479">
        <v>3</v>
      </c>
      <c r="C3479">
        <v>33000</v>
      </c>
      <c r="D3479">
        <v>94193</v>
      </c>
      <c r="E3479">
        <v>33000</v>
      </c>
      <c r="F3479">
        <v>33000</v>
      </c>
      <c r="G3479" s="1">
        <v>2.2499999999999999E-2</v>
      </c>
      <c r="H3479" s="1">
        <v>2.24E-2</v>
      </c>
      <c r="I3479" s="1">
        <v>2.24E-2</v>
      </c>
      <c r="J3479" s="1">
        <v>0.20449999999999999</v>
      </c>
    </row>
    <row r="3480" spans="1:10" x14ac:dyDescent="0.2">
      <c r="A3480" t="str">
        <f>"08/08/2012"</f>
        <v>08/08/2012</v>
      </c>
      <c r="B3480">
        <v>1</v>
      </c>
      <c r="C3480">
        <v>33000</v>
      </c>
      <c r="D3480">
        <v>99874</v>
      </c>
      <c r="E3480">
        <v>33000</v>
      </c>
      <c r="F3480">
        <v>33000</v>
      </c>
      <c r="G3480" s="1">
        <v>2.2499999999999999E-2</v>
      </c>
      <c r="H3480" s="1">
        <v>2.24E-2</v>
      </c>
      <c r="I3480" s="1">
        <v>2.24E-2</v>
      </c>
      <c r="J3480" s="1">
        <v>0.18740000000000001</v>
      </c>
    </row>
    <row r="3481" spans="1:10" x14ac:dyDescent="0.2">
      <c r="A3481" t="str">
        <f>"07/08/2012"</f>
        <v>07/08/2012</v>
      </c>
      <c r="B3481">
        <v>1</v>
      </c>
      <c r="C3481">
        <v>43000</v>
      </c>
      <c r="D3481">
        <v>124259</v>
      </c>
      <c r="E3481">
        <v>43000</v>
      </c>
      <c r="F3481">
        <v>43000</v>
      </c>
      <c r="G3481" s="1">
        <v>2.2499999999999999E-2</v>
      </c>
      <c r="H3481" s="1">
        <v>2.2499999999999999E-2</v>
      </c>
      <c r="I3481" s="1">
        <v>2.2499999999999999E-2</v>
      </c>
      <c r="J3481" s="1">
        <v>0.23050000000000001</v>
      </c>
    </row>
    <row r="3482" spans="1:10" x14ac:dyDescent="0.2">
      <c r="A3482" t="str">
        <f>"06/08/2012"</f>
        <v>06/08/2012</v>
      </c>
      <c r="B3482">
        <v>1</v>
      </c>
      <c r="C3482">
        <v>43000</v>
      </c>
      <c r="D3482">
        <v>121838</v>
      </c>
      <c r="E3482">
        <v>43000</v>
      </c>
      <c r="F3482">
        <v>43000</v>
      </c>
      <c r="G3482" s="1">
        <v>2.2499999999999999E-2</v>
      </c>
      <c r="H3482" s="1">
        <v>2.2499999999999999E-2</v>
      </c>
      <c r="I3482" s="1">
        <v>2.2499999999999999E-2</v>
      </c>
      <c r="J3482" s="1">
        <v>0.2387</v>
      </c>
    </row>
    <row r="3483" spans="1:10" x14ac:dyDescent="0.2">
      <c r="A3483" t="str">
        <f>"05/08/2012"</f>
        <v>05/08/2012</v>
      </c>
      <c r="B3483">
        <v>1</v>
      </c>
      <c r="C3483">
        <v>43000</v>
      </c>
      <c r="D3483">
        <v>111610</v>
      </c>
      <c r="E3483">
        <v>43000</v>
      </c>
      <c r="F3483">
        <v>43000</v>
      </c>
      <c r="G3483" s="1">
        <v>2.2499999999999999E-2</v>
      </c>
      <c r="H3483" s="1">
        <v>2.2499999999999999E-2</v>
      </c>
      <c r="I3483" s="1">
        <v>2.2499999999999999E-2</v>
      </c>
      <c r="J3483" s="1">
        <v>0.27400000000000002</v>
      </c>
    </row>
    <row r="3484" spans="1:10" x14ac:dyDescent="0.2">
      <c r="A3484" t="str">
        <f>"02/08/2012"</f>
        <v>02/08/2012</v>
      </c>
      <c r="B3484">
        <v>3</v>
      </c>
      <c r="C3484">
        <v>42000</v>
      </c>
      <c r="D3484">
        <v>101480</v>
      </c>
      <c r="E3484">
        <v>42000</v>
      </c>
      <c r="F3484">
        <v>42000</v>
      </c>
      <c r="G3484" s="1">
        <v>2.2499999999999999E-2</v>
      </c>
      <c r="H3484" s="1">
        <v>2.2499999999999999E-2</v>
      </c>
      <c r="I3484" s="1">
        <v>2.2499999999999999E-2</v>
      </c>
      <c r="J3484" s="1">
        <v>0.30270000000000002</v>
      </c>
    </row>
    <row r="3485" spans="1:10" x14ac:dyDescent="0.2">
      <c r="A3485" t="str">
        <f>"01/08/2012"</f>
        <v>01/08/2012</v>
      </c>
      <c r="B3485">
        <v>1</v>
      </c>
      <c r="C3485">
        <v>48000</v>
      </c>
      <c r="D3485">
        <v>99695</v>
      </c>
      <c r="E3485">
        <v>48000</v>
      </c>
      <c r="F3485">
        <v>48000</v>
      </c>
      <c r="G3485" s="1">
        <v>2.2499999999999999E-2</v>
      </c>
      <c r="H3485" s="1">
        <v>2.2499999999999999E-2</v>
      </c>
      <c r="I3485" s="1">
        <v>2.2499999999999999E-2</v>
      </c>
      <c r="J3485" s="1">
        <v>0.34849999999999998</v>
      </c>
    </row>
    <row r="3486" spans="1:10" x14ac:dyDescent="0.2">
      <c r="A3486" t="str">
        <f>"31/07/2012"</f>
        <v>31/07/2012</v>
      </c>
      <c r="B3486">
        <v>1</v>
      </c>
      <c r="C3486">
        <v>30000</v>
      </c>
      <c r="D3486">
        <v>69326</v>
      </c>
      <c r="E3486">
        <v>30000</v>
      </c>
      <c r="F3486">
        <v>30000</v>
      </c>
      <c r="G3486" s="1">
        <v>2.2499999999999999E-2</v>
      </c>
      <c r="H3486" s="1">
        <v>2.2499999999999999E-2</v>
      </c>
      <c r="I3486" s="1">
        <v>2.2499999999999999E-2</v>
      </c>
      <c r="J3486" s="1">
        <v>0.28820000000000001</v>
      </c>
    </row>
    <row r="3487" spans="1:10" x14ac:dyDescent="0.2">
      <c r="A3487" t="str">
        <f>"30/07/2012"</f>
        <v>30/07/2012</v>
      </c>
      <c r="B3487">
        <v>1</v>
      </c>
      <c r="C3487">
        <v>30000</v>
      </c>
      <c r="D3487">
        <v>52745</v>
      </c>
      <c r="E3487">
        <v>30000</v>
      </c>
      <c r="F3487">
        <v>30000</v>
      </c>
      <c r="G3487" s="1">
        <v>2.2499999999999999E-2</v>
      </c>
      <c r="H3487" s="1">
        <v>2.2499999999999999E-2</v>
      </c>
      <c r="I3487" s="1">
        <v>2.2499999999999999E-2</v>
      </c>
      <c r="J3487" s="1">
        <v>0.42420000000000002</v>
      </c>
    </row>
    <row r="3488" spans="1:10" x14ac:dyDescent="0.2">
      <c r="A3488" t="str">
        <f>"26/07/2012"</f>
        <v>26/07/2012</v>
      </c>
      <c r="B3488">
        <v>4</v>
      </c>
      <c r="C3488">
        <v>28000</v>
      </c>
      <c r="D3488">
        <v>40588</v>
      </c>
      <c r="E3488">
        <v>28000</v>
      </c>
      <c r="F3488">
        <v>28000</v>
      </c>
      <c r="G3488" s="1">
        <v>2.2499999999999999E-2</v>
      </c>
      <c r="H3488" s="1">
        <v>2.2499999999999999E-2</v>
      </c>
      <c r="I3488" s="1">
        <v>2.2499999999999999E-2</v>
      </c>
      <c r="J3488" s="1">
        <v>0.59</v>
      </c>
    </row>
    <row r="3489" spans="1:10" x14ac:dyDescent="0.2">
      <c r="A3489" t="str">
        <f>"25/07/2012"</f>
        <v>25/07/2012</v>
      </c>
      <c r="B3489">
        <v>1</v>
      </c>
      <c r="C3489">
        <v>21000</v>
      </c>
      <c r="D3489">
        <v>18569</v>
      </c>
      <c r="E3489">
        <v>18569</v>
      </c>
      <c r="F3489">
        <v>18569</v>
      </c>
      <c r="G3489" s="1">
        <v>2.2499999999999999E-2</v>
      </c>
      <c r="H3489" s="1">
        <v>2.24E-2</v>
      </c>
      <c r="I3489" s="1">
        <v>2.24E-2</v>
      </c>
      <c r="J3489" s="1">
        <v>1</v>
      </c>
    </row>
    <row r="3490" spans="1:10" x14ac:dyDescent="0.2">
      <c r="A3490" t="str">
        <f>"24/07/2012"</f>
        <v>24/07/2012</v>
      </c>
      <c r="B3490">
        <v>1</v>
      </c>
      <c r="C3490">
        <v>20000</v>
      </c>
      <c r="D3490">
        <v>22444</v>
      </c>
      <c r="E3490">
        <v>20000</v>
      </c>
      <c r="F3490">
        <v>20000</v>
      </c>
      <c r="G3490" s="1">
        <v>2.2499999999999999E-2</v>
      </c>
      <c r="H3490" s="1">
        <v>2.24E-2</v>
      </c>
      <c r="I3490" s="1">
        <v>2.24E-2</v>
      </c>
      <c r="J3490" s="1">
        <v>0.75560000000000005</v>
      </c>
    </row>
    <row r="3491" spans="1:10" x14ac:dyDescent="0.2">
      <c r="A3491" t="str">
        <f>"23/07/2012"</f>
        <v>23/07/2012</v>
      </c>
      <c r="B3491">
        <v>1</v>
      </c>
      <c r="C3491">
        <v>23000</v>
      </c>
      <c r="D3491">
        <v>35499</v>
      </c>
      <c r="E3491">
        <v>23000</v>
      </c>
      <c r="F3491">
        <v>23000</v>
      </c>
      <c r="G3491" s="1">
        <v>2.2499999999999999E-2</v>
      </c>
      <c r="H3491" s="1">
        <v>2.24E-2</v>
      </c>
      <c r="I3491" s="1">
        <v>2.24E-2</v>
      </c>
      <c r="J3491" s="1">
        <v>0.45660000000000001</v>
      </c>
    </row>
    <row r="3492" spans="1:10" x14ac:dyDescent="0.2">
      <c r="A3492" t="str">
        <f>"22/07/2012"</f>
        <v>22/07/2012</v>
      </c>
      <c r="B3492">
        <v>1</v>
      </c>
      <c r="C3492">
        <v>24000</v>
      </c>
      <c r="D3492">
        <v>41439</v>
      </c>
      <c r="E3492">
        <v>24000</v>
      </c>
      <c r="F3492">
        <v>24000</v>
      </c>
      <c r="G3492" s="1">
        <v>2.2499999999999999E-2</v>
      </c>
      <c r="H3492" s="1">
        <v>2.24E-2</v>
      </c>
      <c r="I3492" s="1">
        <v>2.24E-2</v>
      </c>
      <c r="J3492" s="1">
        <v>0.30470000000000003</v>
      </c>
    </row>
    <row r="3493" spans="1:10" x14ac:dyDescent="0.2">
      <c r="A3493" t="str">
        <f>"19/07/2012"</f>
        <v>19/07/2012</v>
      </c>
      <c r="B3493">
        <v>3</v>
      </c>
      <c r="C3493">
        <v>23000</v>
      </c>
      <c r="D3493">
        <v>46697</v>
      </c>
      <c r="E3493">
        <v>23000</v>
      </c>
      <c r="F3493">
        <v>23000</v>
      </c>
      <c r="G3493" s="1">
        <v>2.2499999999999999E-2</v>
      </c>
      <c r="H3493" s="1">
        <v>2.24E-2</v>
      </c>
      <c r="I3493" s="1">
        <v>2.24E-2</v>
      </c>
      <c r="J3493" s="1">
        <v>0.222</v>
      </c>
    </row>
    <row r="3494" spans="1:10" x14ac:dyDescent="0.2">
      <c r="A3494" t="str">
        <f>"18/07/2012"</f>
        <v>18/07/2012</v>
      </c>
      <c r="B3494">
        <v>1</v>
      </c>
      <c r="C3494">
        <v>23000</v>
      </c>
      <c r="D3494">
        <v>43240</v>
      </c>
      <c r="E3494">
        <v>23000</v>
      </c>
      <c r="F3494">
        <v>23000</v>
      </c>
      <c r="G3494" s="1">
        <v>2.2499999999999999E-2</v>
      </c>
      <c r="H3494" s="1">
        <v>2.24E-2</v>
      </c>
      <c r="I3494" s="1">
        <v>2.24E-2</v>
      </c>
      <c r="J3494" s="1">
        <v>0.1636</v>
      </c>
    </row>
    <row r="3495" spans="1:10" x14ac:dyDescent="0.2">
      <c r="A3495" t="str">
        <f>"17/07/2012"</f>
        <v>17/07/2012</v>
      </c>
      <c r="B3495">
        <v>1</v>
      </c>
      <c r="C3495">
        <v>20000</v>
      </c>
      <c r="D3495">
        <v>44663</v>
      </c>
      <c r="E3495">
        <v>20000</v>
      </c>
      <c r="F3495">
        <v>20000</v>
      </c>
      <c r="G3495" s="1">
        <v>2.2499999999999999E-2</v>
      </c>
      <c r="H3495" s="1">
        <v>2.24E-2</v>
      </c>
      <c r="I3495" s="1">
        <v>2.24E-2</v>
      </c>
      <c r="J3495" s="1">
        <v>0.15679999999999999</v>
      </c>
    </row>
    <row r="3496" spans="1:10" x14ac:dyDescent="0.2">
      <c r="A3496" t="str">
        <f>"16/07/2012"</f>
        <v>16/07/2012</v>
      </c>
      <c r="B3496">
        <v>1</v>
      </c>
      <c r="C3496">
        <v>23000</v>
      </c>
      <c r="D3496">
        <v>45047</v>
      </c>
      <c r="E3496">
        <v>23000</v>
      </c>
      <c r="F3496">
        <v>23000</v>
      </c>
      <c r="G3496" s="1">
        <v>2.2499999999999999E-2</v>
      </c>
      <c r="H3496" s="1">
        <v>2.24E-2</v>
      </c>
      <c r="I3496" s="1">
        <v>2.24E-2</v>
      </c>
      <c r="J3496" s="1">
        <v>0.25940000000000002</v>
      </c>
    </row>
    <row r="3497" spans="1:10" x14ac:dyDescent="0.2">
      <c r="A3497" t="str">
        <f>"15/07/2012"</f>
        <v>15/07/2012</v>
      </c>
      <c r="B3497">
        <v>1</v>
      </c>
      <c r="C3497">
        <v>36000</v>
      </c>
      <c r="D3497">
        <v>65166</v>
      </c>
      <c r="E3497">
        <v>36000</v>
      </c>
      <c r="F3497">
        <v>36000</v>
      </c>
      <c r="G3497" s="1">
        <v>2.2499999999999999E-2</v>
      </c>
      <c r="H3497" s="1">
        <v>2.2499999999999999E-2</v>
      </c>
      <c r="I3497" s="1">
        <v>2.2499999999999999E-2</v>
      </c>
      <c r="J3497" s="1">
        <v>0.41770000000000002</v>
      </c>
    </row>
    <row r="3498" spans="1:10" x14ac:dyDescent="0.2">
      <c r="A3498" t="str">
        <f>"12/07/2012"</f>
        <v>12/07/2012</v>
      </c>
      <c r="B3498">
        <v>3</v>
      </c>
      <c r="C3498">
        <v>39000</v>
      </c>
      <c r="D3498">
        <v>75640</v>
      </c>
      <c r="E3498">
        <v>39000</v>
      </c>
      <c r="F3498">
        <v>39000</v>
      </c>
      <c r="G3498" s="1">
        <v>2.2499999999999999E-2</v>
      </c>
      <c r="H3498" s="1">
        <v>2.2499999999999999E-2</v>
      </c>
      <c r="I3498" s="1">
        <v>2.2499999999999999E-2</v>
      </c>
      <c r="J3498" s="1">
        <v>0.3821</v>
      </c>
    </row>
    <row r="3499" spans="1:10" x14ac:dyDescent="0.2">
      <c r="A3499" t="str">
        <f>"11/07/2012"</f>
        <v>11/07/2012</v>
      </c>
      <c r="B3499">
        <v>1</v>
      </c>
      <c r="C3499">
        <v>33000</v>
      </c>
      <c r="D3499">
        <v>79053</v>
      </c>
      <c r="E3499">
        <v>33000</v>
      </c>
      <c r="F3499">
        <v>33000</v>
      </c>
      <c r="G3499" s="1">
        <v>2.2499999999999999E-2</v>
      </c>
      <c r="H3499" s="1">
        <v>2.24E-2</v>
      </c>
      <c r="I3499" s="1">
        <v>2.24E-2</v>
      </c>
      <c r="J3499" s="1">
        <v>0.25419999999999998</v>
      </c>
    </row>
    <row r="3500" spans="1:10" x14ac:dyDescent="0.2">
      <c r="A3500" t="str">
        <f>"10/07/2012"</f>
        <v>10/07/2012</v>
      </c>
      <c r="B3500">
        <v>1</v>
      </c>
      <c r="C3500">
        <v>33000</v>
      </c>
      <c r="D3500">
        <v>78386</v>
      </c>
      <c r="E3500">
        <v>33000</v>
      </c>
      <c r="F3500">
        <v>33000</v>
      </c>
      <c r="G3500" s="1">
        <v>2.2499999999999999E-2</v>
      </c>
      <c r="H3500" s="1">
        <v>2.24E-2</v>
      </c>
      <c r="I3500" s="1">
        <v>2.24E-2</v>
      </c>
      <c r="J3500" s="1">
        <v>0.26250000000000001</v>
      </c>
    </row>
    <row r="3501" spans="1:10" x14ac:dyDescent="0.2">
      <c r="A3501" t="str">
        <f>"09/07/2012"</f>
        <v>09/07/2012</v>
      </c>
      <c r="B3501">
        <v>1</v>
      </c>
      <c r="C3501">
        <v>35000</v>
      </c>
      <c r="D3501">
        <v>80443</v>
      </c>
      <c r="E3501">
        <v>35000</v>
      </c>
      <c r="F3501">
        <v>35000</v>
      </c>
      <c r="G3501" s="1">
        <v>2.2499999999999999E-2</v>
      </c>
      <c r="H3501" s="1">
        <v>2.24E-2</v>
      </c>
      <c r="I3501" s="1">
        <v>2.24E-2</v>
      </c>
      <c r="J3501" s="1">
        <v>0.27750000000000002</v>
      </c>
    </row>
    <row r="3502" spans="1:10" x14ac:dyDescent="0.2">
      <c r="A3502" t="str">
        <f>"08/07/2012"</f>
        <v>08/07/2012</v>
      </c>
      <c r="B3502">
        <v>1</v>
      </c>
      <c r="C3502">
        <v>35000</v>
      </c>
      <c r="D3502">
        <v>86486</v>
      </c>
      <c r="E3502">
        <v>35000</v>
      </c>
      <c r="F3502">
        <v>35000</v>
      </c>
      <c r="G3502" s="1">
        <v>2.2499999999999999E-2</v>
      </c>
      <c r="H3502" s="1">
        <v>2.2499999999999999E-2</v>
      </c>
      <c r="I3502" s="1">
        <v>2.2499999999999999E-2</v>
      </c>
      <c r="J3502" s="1">
        <v>0.28489999999999999</v>
      </c>
    </row>
    <row r="3503" spans="1:10" x14ac:dyDescent="0.2">
      <c r="A3503" t="str">
        <f>"05/07/2012"</f>
        <v>05/07/2012</v>
      </c>
      <c r="B3503">
        <v>3</v>
      </c>
      <c r="C3503">
        <v>35000</v>
      </c>
      <c r="D3503">
        <v>89803</v>
      </c>
      <c r="E3503">
        <v>35000</v>
      </c>
      <c r="F3503">
        <v>35000</v>
      </c>
      <c r="G3503" s="1">
        <v>2.2499999999999999E-2</v>
      </c>
      <c r="H3503" s="1">
        <v>2.2499999999999999E-2</v>
      </c>
      <c r="I3503" s="1">
        <v>2.2499999999999999E-2</v>
      </c>
      <c r="J3503" s="1">
        <v>0.26240000000000002</v>
      </c>
    </row>
    <row r="3504" spans="1:10" x14ac:dyDescent="0.2">
      <c r="A3504" t="str">
        <f>"04/07/2012"</f>
        <v>04/07/2012</v>
      </c>
      <c r="B3504">
        <v>1</v>
      </c>
      <c r="C3504">
        <v>39000</v>
      </c>
      <c r="D3504">
        <v>93594</v>
      </c>
      <c r="E3504">
        <v>39000</v>
      </c>
      <c r="F3504">
        <v>39000</v>
      </c>
      <c r="G3504" s="1">
        <v>2.2499999999999999E-2</v>
      </c>
      <c r="H3504" s="1">
        <v>2.2499999999999999E-2</v>
      </c>
      <c r="I3504" s="1">
        <v>2.2499999999999999E-2</v>
      </c>
      <c r="J3504" s="1">
        <v>0.2802</v>
      </c>
    </row>
    <row r="3505" spans="1:10" x14ac:dyDescent="0.2">
      <c r="A3505" t="str">
        <f>"03/07/2012"</f>
        <v>03/07/2012</v>
      </c>
      <c r="B3505">
        <v>1</v>
      </c>
      <c r="C3505">
        <v>36000</v>
      </c>
      <c r="D3505">
        <v>73453</v>
      </c>
      <c r="E3505">
        <v>36000</v>
      </c>
      <c r="F3505">
        <v>36000</v>
      </c>
      <c r="G3505" s="1">
        <v>2.2499999999999999E-2</v>
      </c>
      <c r="H3505" s="1">
        <v>2.2499999999999999E-2</v>
      </c>
      <c r="I3505" s="1">
        <v>2.2499999999999999E-2</v>
      </c>
      <c r="J3505" s="1">
        <v>0.3574</v>
      </c>
    </row>
    <row r="3506" spans="1:10" x14ac:dyDescent="0.2">
      <c r="A3506" t="str">
        <f>"02/07/2012"</f>
        <v>02/07/2012</v>
      </c>
      <c r="B3506">
        <v>1</v>
      </c>
      <c r="C3506">
        <v>37000</v>
      </c>
      <c r="D3506">
        <v>61321</v>
      </c>
      <c r="E3506">
        <v>37000</v>
      </c>
      <c r="F3506">
        <v>37000</v>
      </c>
      <c r="G3506" s="1">
        <v>2.2499999999999999E-2</v>
      </c>
      <c r="H3506" s="1">
        <v>2.2499999999999999E-2</v>
      </c>
      <c r="I3506" s="1">
        <v>2.2499999999999999E-2</v>
      </c>
      <c r="J3506" s="1">
        <v>0.46489999999999998</v>
      </c>
    </row>
    <row r="3507" spans="1:10" x14ac:dyDescent="0.2">
      <c r="A3507" t="str">
        <f>"01/07/2012"</f>
        <v>01/07/2012</v>
      </c>
      <c r="B3507">
        <v>1</v>
      </c>
      <c r="C3507">
        <v>36000</v>
      </c>
      <c r="D3507">
        <v>52613</v>
      </c>
      <c r="E3507">
        <v>36000</v>
      </c>
      <c r="F3507">
        <v>36000</v>
      </c>
      <c r="G3507" s="1">
        <v>2.2499999999999999E-2</v>
      </c>
      <c r="H3507" s="1">
        <v>2.2499999999999999E-2</v>
      </c>
      <c r="I3507" s="1">
        <v>2.2499999999999999E-2</v>
      </c>
      <c r="J3507" s="1">
        <v>0.59209999999999996</v>
      </c>
    </row>
    <row r="3508" spans="1:10" x14ac:dyDescent="0.2">
      <c r="A3508" t="str">
        <f>"28/06/2012"</f>
        <v>28/06/2012</v>
      </c>
      <c r="B3508">
        <v>3</v>
      </c>
      <c r="C3508">
        <v>24000</v>
      </c>
      <c r="D3508">
        <v>30845</v>
      </c>
      <c r="E3508">
        <v>24000</v>
      </c>
      <c r="F3508">
        <v>24000</v>
      </c>
      <c r="G3508" s="1">
        <v>2.2499999999999999E-2</v>
      </c>
      <c r="H3508" s="1">
        <v>2.2499999999999999E-2</v>
      </c>
      <c r="I3508" s="1">
        <v>2.2499999999999999E-2</v>
      </c>
      <c r="J3508" s="1">
        <v>0.67749999999999999</v>
      </c>
    </row>
    <row r="3509" spans="1:10" x14ac:dyDescent="0.2">
      <c r="A3509" t="str">
        <f>"27/06/2012"</f>
        <v>27/06/2012</v>
      </c>
      <c r="B3509">
        <v>1</v>
      </c>
      <c r="C3509">
        <v>18000</v>
      </c>
      <c r="D3509">
        <v>17434</v>
      </c>
      <c r="E3509">
        <v>17434</v>
      </c>
      <c r="F3509">
        <v>17434</v>
      </c>
      <c r="G3509" s="1">
        <v>2.5000000000000001E-2</v>
      </c>
      <c r="H3509" s="1">
        <v>2.4899999999999999E-2</v>
      </c>
      <c r="I3509" s="1">
        <v>2.4899999999999999E-2</v>
      </c>
      <c r="J3509" s="1">
        <v>1</v>
      </c>
    </row>
    <row r="3510" spans="1:10" x14ac:dyDescent="0.2">
      <c r="A3510" t="str">
        <f>"26/06/2012"</f>
        <v>26/06/2012</v>
      </c>
      <c r="B3510">
        <v>1</v>
      </c>
      <c r="C3510">
        <v>16000</v>
      </c>
      <c r="D3510">
        <v>14147</v>
      </c>
      <c r="E3510">
        <v>14147</v>
      </c>
      <c r="F3510">
        <v>14147</v>
      </c>
      <c r="G3510" s="1">
        <v>2.5000000000000001E-2</v>
      </c>
      <c r="H3510" s="1">
        <v>2.4899999999999999E-2</v>
      </c>
      <c r="I3510" s="1">
        <v>2.4899999999999999E-2</v>
      </c>
      <c r="J3510" s="1">
        <v>1</v>
      </c>
    </row>
    <row r="3511" spans="1:10" x14ac:dyDescent="0.2">
      <c r="A3511" t="str">
        <f>"25/06/2012"</f>
        <v>25/06/2012</v>
      </c>
      <c r="B3511">
        <v>1</v>
      </c>
      <c r="C3511">
        <v>17000</v>
      </c>
      <c r="D3511">
        <v>15593</v>
      </c>
      <c r="E3511">
        <v>15593</v>
      </c>
      <c r="F3511">
        <v>15593</v>
      </c>
      <c r="G3511" s="1">
        <v>2.5000000000000001E-2</v>
      </c>
      <c r="H3511" s="1">
        <v>2.4899999999999999E-2</v>
      </c>
      <c r="I3511" s="1">
        <v>2.4899999999999999E-2</v>
      </c>
      <c r="J3511" s="1">
        <v>1</v>
      </c>
    </row>
    <row r="3512" spans="1:10" x14ac:dyDescent="0.2">
      <c r="A3512" t="str">
        <f>"24/06/2012"</f>
        <v>24/06/2012</v>
      </c>
      <c r="B3512">
        <v>1</v>
      </c>
      <c r="C3512">
        <v>16000</v>
      </c>
      <c r="D3512">
        <v>13177</v>
      </c>
      <c r="E3512">
        <v>13177</v>
      </c>
      <c r="F3512">
        <v>13177</v>
      </c>
      <c r="G3512" s="1">
        <v>2.4899999999999999E-2</v>
      </c>
      <c r="H3512" s="1">
        <v>2.4899999999999999E-2</v>
      </c>
      <c r="I3512" s="1">
        <v>2.4899999999999999E-2</v>
      </c>
      <c r="J3512" s="1">
        <v>1</v>
      </c>
    </row>
    <row r="3513" spans="1:10" x14ac:dyDescent="0.2">
      <c r="A3513" t="str">
        <f>"21/06/2012"</f>
        <v>21/06/2012</v>
      </c>
      <c r="B3513">
        <v>3</v>
      </c>
      <c r="C3513">
        <v>17000</v>
      </c>
      <c r="D3513">
        <v>30568</v>
      </c>
      <c r="E3513">
        <v>17000</v>
      </c>
      <c r="F3513">
        <v>17000</v>
      </c>
      <c r="G3513" s="1">
        <v>2.5000000000000001E-2</v>
      </c>
      <c r="H3513" s="1">
        <v>2.4899999999999999E-2</v>
      </c>
      <c r="I3513" s="1">
        <v>2.4899999999999999E-2</v>
      </c>
      <c r="J3513" s="1">
        <v>0.2019</v>
      </c>
    </row>
    <row r="3514" spans="1:10" x14ac:dyDescent="0.2">
      <c r="A3514" t="str">
        <f>"20/06/2012"</f>
        <v>20/06/2012</v>
      </c>
      <c r="B3514">
        <v>1</v>
      </c>
      <c r="C3514">
        <v>17000</v>
      </c>
      <c r="D3514">
        <v>32700</v>
      </c>
      <c r="E3514">
        <v>17000</v>
      </c>
      <c r="F3514">
        <v>17000</v>
      </c>
      <c r="G3514" s="1">
        <v>2.5000000000000001E-2</v>
      </c>
      <c r="H3514" s="1">
        <v>2.4899999999999999E-2</v>
      </c>
      <c r="I3514" s="1">
        <v>2.4899999999999999E-2</v>
      </c>
      <c r="J3514" s="1">
        <v>7.6499999999999999E-2</v>
      </c>
    </row>
    <row r="3515" spans="1:10" x14ac:dyDescent="0.2">
      <c r="A3515" t="str">
        <f>"19/06/2012"</f>
        <v>19/06/2012</v>
      </c>
      <c r="B3515">
        <v>1</v>
      </c>
      <c r="C3515">
        <v>17000</v>
      </c>
      <c r="D3515">
        <v>32853</v>
      </c>
      <c r="E3515">
        <v>17000</v>
      </c>
      <c r="F3515">
        <v>17000</v>
      </c>
      <c r="G3515" s="1">
        <v>2.5000000000000001E-2</v>
      </c>
      <c r="H3515" s="1">
        <v>2.4899999999999999E-2</v>
      </c>
      <c r="I3515" s="1">
        <v>2.4899999999999999E-2</v>
      </c>
      <c r="J3515" s="1">
        <v>6.7500000000000004E-2</v>
      </c>
    </row>
    <row r="3516" spans="1:10" x14ac:dyDescent="0.2">
      <c r="A3516" t="str">
        <f>"18/06/2012"</f>
        <v>18/06/2012</v>
      </c>
      <c r="B3516">
        <v>1</v>
      </c>
      <c r="C3516">
        <v>19000</v>
      </c>
      <c r="D3516">
        <v>36900</v>
      </c>
      <c r="E3516">
        <v>19000</v>
      </c>
      <c r="F3516">
        <v>19000</v>
      </c>
      <c r="G3516" s="1">
        <v>2.5000000000000001E-2</v>
      </c>
      <c r="H3516" s="1">
        <v>2.4899999999999999E-2</v>
      </c>
      <c r="I3516" s="1">
        <v>2.4899999999999999E-2</v>
      </c>
      <c r="J3516" s="1">
        <v>5.79E-2</v>
      </c>
    </row>
    <row r="3517" spans="1:10" x14ac:dyDescent="0.2">
      <c r="A3517" t="str">
        <f>"17/06/2012"</f>
        <v>17/06/2012</v>
      </c>
      <c r="B3517">
        <v>1</v>
      </c>
      <c r="C3517">
        <v>20000</v>
      </c>
      <c r="D3517">
        <v>50468</v>
      </c>
      <c r="E3517">
        <v>19300</v>
      </c>
      <c r="F3517">
        <v>20000</v>
      </c>
      <c r="G3517" s="1">
        <v>2.5000000000000001E-2</v>
      </c>
      <c r="H3517" s="1">
        <v>2.4899999999999999E-2</v>
      </c>
      <c r="I3517" s="1">
        <v>2.4899999999999999E-2</v>
      </c>
      <c r="J3517" s="1">
        <v>7.6700000000000004E-2</v>
      </c>
    </row>
    <row r="3518" spans="1:10" x14ac:dyDescent="0.2">
      <c r="A3518" t="str">
        <f>"14/06/2012"</f>
        <v>14/06/2012</v>
      </c>
      <c r="B3518">
        <v>3</v>
      </c>
      <c r="C3518">
        <v>29000</v>
      </c>
      <c r="D3518">
        <v>73211</v>
      </c>
      <c r="E3518">
        <v>29000</v>
      </c>
      <c r="F3518">
        <v>29000</v>
      </c>
      <c r="G3518" s="1">
        <v>2.5000000000000001E-2</v>
      </c>
      <c r="H3518" s="1">
        <v>2.4899999999999999E-2</v>
      </c>
      <c r="I3518" s="1">
        <v>2.4899999999999999E-2</v>
      </c>
      <c r="J3518" s="1">
        <v>0.15629999999999999</v>
      </c>
    </row>
    <row r="3519" spans="1:10" x14ac:dyDescent="0.2">
      <c r="A3519" t="str">
        <f>"13/06/2012"</f>
        <v>13/06/2012</v>
      </c>
      <c r="B3519">
        <v>1</v>
      </c>
      <c r="C3519">
        <v>29000</v>
      </c>
      <c r="D3519">
        <v>74408</v>
      </c>
      <c r="E3519">
        <v>29000</v>
      </c>
      <c r="F3519">
        <v>29000</v>
      </c>
      <c r="G3519" s="1">
        <v>2.5000000000000001E-2</v>
      </c>
      <c r="H3519" s="1">
        <v>2.4899999999999999E-2</v>
      </c>
      <c r="I3519" s="1">
        <v>2.4899999999999999E-2</v>
      </c>
      <c r="J3519" s="1">
        <v>0.1358</v>
      </c>
    </row>
    <row r="3520" spans="1:10" x14ac:dyDescent="0.2">
      <c r="A3520" t="str">
        <f>"12/06/2012"</f>
        <v>12/06/2012</v>
      </c>
      <c r="B3520">
        <v>1</v>
      </c>
      <c r="C3520">
        <v>29000</v>
      </c>
      <c r="D3520">
        <v>80383</v>
      </c>
      <c r="E3520">
        <v>29000</v>
      </c>
      <c r="F3520">
        <v>29000</v>
      </c>
      <c r="G3520" s="1">
        <v>2.5000000000000001E-2</v>
      </c>
      <c r="H3520" s="1">
        <v>2.4899999999999999E-2</v>
      </c>
      <c r="I3520" s="1">
        <v>2.4899999999999999E-2</v>
      </c>
      <c r="J3520" s="1">
        <v>0.1386</v>
      </c>
    </row>
    <row r="3521" spans="1:10" x14ac:dyDescent="0.2">
      <c r="A3521" t="str">
        <f>"11/06/2012"</f>
        <v>11/06/2012</v>
      </c>
      <c r="B3521">
        <v>1</v>
      </c>
      <c r="C3521">
        <v>31000</v>
      </c>
      <c r="D3521">
        <v>83855</v>
      </c>
      <c r="E3521">
        <v>31000</v>
      </c>
      <c r="F3521">
        <v>31000</v>
      </c>
      <c r="G3521" s="1">
        <v>2.5000000000000001E-2</v>
      </c>
      <c r="H3521" s="1">
        <v>2.4899999999999999E-2</v>
      </c>
      <c r="I3521" s="1">
        <v>2.4899999999999999E-2</v>
      </c>
      <c r="J3521" s="1">
        <v>0.18</v>
      </c>
    </row>
    <row r="3522" spans="1:10" x14ac:dyDescent="0.2">
      <c r="A3522" t="str">
        <f>"10/06/2012"</f>
        <v>10/06/2012</v>
      </c>
      <c r="B3522">
        <v>1</v>
      </c>
      <c r="C3522">
        <v>30000</v>
      </c>
      <c r="D3522">
        <v>75200</v>
      </c>
      <c r="E3522">
        <v>30000</v>
      </c>
      <c r="F3522">
        <v>30000</v>
      </c>
      <c r="G3522" s="1">
        <v>2.5000000000000001E-2</v>
      </c>
      <c r="H3522" s="1">
        <v>2.4899999999999999E-2</v>
      </c>
      <c r="I3522" s="1">
        <v>2.4899999999999999E-2</v>
      </c>
      <c r="J3522" s="1">
        <v>0.2397</v>
      </c>
    </row>
    <row r="3523" spans="1:10" x14ac:dyDescent="0.2">
      <c r="A3523" t="str">
        <f>"07/06/2012"</f>
        <v>07/06/2012</v>
      </c>
      <c r="B3523">
        <v>3</v>
      </c>
      <c r="C3523">
        <v>31000</v>
      </c>
      <c r="D3523">
        <v>66344</v>
      </c>
      <c r="E3523">
        <v>31000</v>
      </c>
      <c r="F3523">
        <v>31000</v>
      </c>
      <c r="G3523" s="1">
        <v>2.5000000000000001E-2</v>
      </c>
      <c r="H3523" s="1">
        <v>2.5000000000000001E-2</v>
      </c>
      <c r="I3523" s="1">
        <v>2.5000000000000001E-2</v>
      </c>
      <c r="J3523" s="1">
        <v>0.31040000000000001</v>
      </c>
    </row>
    <row r="3524" spans="1:10" x14ac:dyDescent="0.2">
      <c r="A3524" t="str">
        <f>"06/06/2012"</f>
        <v>06/06/2012</v>
      </c>
      <c r="B3524">
        <v>1</v>
      </c>
      <c r="C3524">
        <v>33000</v>
      </c>
      <c r="D3524">
        <v>66899</v>
      </c>
      <c r="E3524">
        <v>33000</v>
      </c>
      <c r="F3524">
        <v>33000</v>
      </c>
      <c r="G3524" s="1">
        <v>2.5000000000000001E-2</v>
      </c>
      <c r="H3524" s="1">
        <v>2.4899999999999999E-2</v>
      </c>
      <c r="I3524" s="1">
        <v>2.4899999999999999E-2</v>
      </c>
      <c r="J3524" s="1">
        <v>0.2974</v>
      </c>
    </row>
    <row r="3525" spans="1:10" x14ac:dyDescent="0.2">
      <c r="A3525" t="str">
        <f>"05/06/2012"</f>
        <v>05/06/2012</v>
      </c>
      <c r="B3525">
        <v>1</v>
      </c>
      <c r="C3525">
        <v>33000</v>
      </c>
      <c r="D3525">
        <v>68209</v>
      </c>
      <c r="E3525">
        <v>33000</v>
      </c>
      <c r="F3525">
        <v>33000</v>
      </c>
      <c r="G3525" s="1">
        <v>2.5000000000000001E-2</v>
      </c>
      <c r="H3525" s="1">
        <v>2.5000000000000001E-2</v>
      </c>
      <c r="I3525" s="1">
        <v>2.5000000000000001E-2</v>
      </c>
      <c r="J3525" s="1">
        <v>0.32240000000000002</v>
      </c>
    </row>
    <row r="3526" spans="1:10" x14ac:dyDescent="0.2">
      <c r="A3526" t="str">
        <f>"04/06/2012"</f>
        <v>04/06/2012</v>
      </c>
      <c r="B3526">
        <v>1</v>
      </c>
      <c r="C3526">
        <v>33000</v>
      </c>
      <c r="D3526">
        <v>57582</v>
      </c>
      <c r="E3526">
        <v>33000</v>
      </c>
      <c r="F3526">
        <v>33000</v>
      </c>
      <c r="G3526" s="1">
        <v>2.5000000000000001E-2</v>
      </c>
      <c r="H3526" s="1">
        <v>2.5000000000000001E-2</v>
      </c>
      <c r="I3526" s="1">
        <v>2.5000000000000001E-2</v>
      </c>
      <c r="J3526" s="1">
        <v>0.4022</v>
      </c>
    </row>
    <row r="3527" spans="1:10" x14ac:dyDescent="0.2">
      <c r="A3527" t="str">
        <f>"03/06/2012"</f>
        <v>03/06/2012</v>
      </c>
      <c r="B3527">
        <v>1</v>
      </c>
      <c r="C3527">
        <v>33000</v>
      </c>
      <c r="D3527">
        <v>51982</v>
      </c>
      <c r="E3527">
        <v>33000</v>
      </c>
      <c r="F3527">
        <v>33000</v>
      </c>
      <c r="G3527" s="1">
        <v>2.5000000000000001E-2</v>
      </c>
      <c r="H3527" s="1">
        <v>2.5000000000000001E-2</v>
      </c>
      <c r="I3527" s="1">
        <v>2.5000000000000001E-2</v>
      </c>
      <c r="J3527" s="1">
        <v>0.51229999999999998</v>
      </c>
    </row>
    <row r="3528" spans="1:10" x14ac:dyDescent="0.2">
      <c r="A3528" t="str">
        <f>"31/05/2012"</f>
        <v>31/05/2012</v>
      </c>
      <c r="B3528">
        <v>3</v>
      </c>
      <c r="C3528">
        <v>28000</v>
      </c>
      <c r="D3528">
        <v>36148</v>
      </c>
      <c r="E3528">
        <v>28000</v>
      </c>
      <c r="F3528">
        <v>28000</v>
      </c>
      <c r="G3528" s="1">
        <v>2.5000000000000001E-2</v>
      </c>
      <c r="H3528" s="1">
        <v>2.5000000000000001E-2</v>
      </c>
      <c r="I3528" s="1">
        <v>2.5000000000000001E-2</v>
      </c>
      <c r="J3528" s="1">
        <v>0.65080000000000005</v>
      </c>
    </row>
    <row r="3529" spans="1:10" x14ac:dyDescent="0.2">
      <c r="A3529" t="str">
        <f>"30/05/2012"</f>
        <v>30/05/2012</v>
      </c>
      <c r="B3529">
        <v>1</v>
      </c>
      <c r="C3529">
        <v>20000</v>
      </c>
      <c r="D3529">
        <v>19771</v>
      </c>
      <c r="E3529">
        <v>19771</v>
      </c>
      <c r="F3529">
        <v>19771</v>
      </c>
      <c r="G3529" s="1">
        <v>2.5000000000000001E-2</v>
      </c>
      <c r="H3529" s="1">
        <v>2.4899999999999999E-2</v>
      </c>
      <c r="I3529" s="1">
        <v>2.4899999999999999E-2</v>
      </c>
      <c r="J3529" s="1">
        <v>1</v>
      </c>
    </row>
    <row r="3530" spans="1:10" x14ac:dyDescent="0.2">
      <c r="A3530" t="str">
        <f>"29/05/2012"</f>
        <v>29/05/2012</v>
      </c>
      <c r="B3530">
        <v>1</v>
      </c>
      <c r="C3530">
        <v>21000</v>
      </c>
      <c r="D3530">
        <v>33813</v>
      </c>
      <c r="E3530">
        <v>21000</v>
      </c>
      <c r="F3530">
        <v>21000</v>
      </c>
      <c r="G3530" s="1">
        <v>2.5000000000000001E-2</v>
      </c>
      <c r="H3530" s="1">
        <v>2.4899999999999999E-2</v>
      </c>
      <c r="I3530" s="1">
        <v>2.4899999999999999E-2</v>
      </c>
      <c r="J3530" s="1">
        <v>0.38990000000000002</v>
      </c>
    </row>
    <row r="3531" spans="1:10" x14ac:dyDescent="0.2">
      <c r="A3531" t="str">
        <f>"28/05/2012"</f>
        <v>28/05/2012</v>
      </c>
      <c r="B3531">
        <v>1</v>
      </c>
      <c r="C3531">
        <v>21000</v>
      </c>
      <c r="D3531">
        <v>36672</v>
      </c>
      <c r="E3531">
        <v>21000</v>
      </c>
      <c r="F3531">
        <v>21000</v>
      </c>
      <c r="G3531" s="1">
        <v>2.5000000000000001E-2</v>
      </c>
      <c r="H3531" s="1">
        <v>2.4899999999999999E-2</v>
      </c>
      <c r="I3531" s="1">
        <v>2.4899999999999999E-2</v>
      </c>
      <c r="J3531" s="1">
        <v>0.3493</v>
      </c>
    </row>
    <row r="3532" spans="1:10" x14ac:dyDescent="0.2">
      <c r="A3532" t="str">
        <f>"24/05/2012"</f>
        <v>24/05/2012</v>
      </c>
      <c r="B3532">
        <v>4</v>
      </c>
      <c r="C3532">
        <v>20000</v>
      </c>
      <c r="D3532">
        <v>54729</v>
      </c>
      <c r="E3532">
        <v>20000</v>
      </c>
      <c r="F3532">
        <v>20000</v>
      </c>
      <c r="G3532" s="1">
        <v>2.5000000000000001E-2</v>
      </c>
      <c r="H3532" s="1">
        <v>2.4899999999999999E-2</v>
      </c>
      <c r="I3532" s="1">
        <v>2.4899999999999999E-2</v>
      </c>
      <c r="J3532" s="1">
        <v>0.16320000000000001</v>
      </c>
    </row>
    <row r="3533" spans="1:10" x14ac:dyDescent="0.2">
      <c r="A3533" t="str">
        <f>"23/05/2012"</f>
        <v>23/05/2012</v>
      </c>
      <c r="B3533">
        <v>1</v>
      </c>
      <c r="C3533">
        <v>19000</v>
      </c>
      <c r="D3533">
        <v>57842</v>
      </c>
      <c r="E3533">
        <v>19000</v>
      </c>
      <c r="F3533">
        <v>19000</v>
      </c>
      <c r="G3533" s="1">
        <v>2.5000000000000001E-2</v>
      </c>
      <c r="H3533" s="1">
        <v>2.4899999999999999E-2</v>
      </c>
      <c r="I3533" s="1">
        <v>2.4899999999999999E-2</v>
      </c>
      <c r="J3533" s="1">
        <v>0.15340000000000001</v>
      </c>
    </row>
    <row r="3534" spans="1:10" x14ac:dyDescent="0.2">
      <c r="A3534" t="str">
        <f>"22/05/2012"</f>
        <v>22/05/2012</v>
      </c>
      <c r="B3534">
        <v>1</v>
      </c>
      <c r="C3534">
        <v>19000</v>
      </c>
      <c r="D3534">
        <v>60158</v>
      </c>
      <c r="E3534">
        <v>19000</v>
      </c>
      <c r="F3534">
        <v>19000</v>
      </c>
      <c r="G3534" s="1">
        <v>2.5000000000000001E-2</v>
      </c>
      <c r="H3534" s="1">
        <v>2.4899999999999999E-2</v>
      </c>
      <c r="I3534" s="1">
        <v>2.4899999999999999E-2</v>
      </c>
      <c r="J3534" s="1">
        <v>0.1452</v>
      </c>
    </row>
    <row r="3535" spans="1:10" x14ac:dyDescent="0.2">
      <c r="A3535" t="str">
        <f>"21/05/2012"</f>
        <v>21/05/2012</v>
      </c>
      <c r="B3535">
        <v>1</v>
      </c>
      <c r="C3535">
        <v>22000</v>
      </c>
      <c r="D3535">
        <v>69456</v>
      </c>
      <c r="E3535">
        <v>22000</v>
      </c>
      <c r="F3535">
        <v>22000</v>
      </c>
      <c r="G3535" s="1">
        <v>2.5000000000000001E-2</v>
      </c>
      <c r="H3535" s="1">
        <v>2.4899999999999999E-2</v>
      </c>
      <c r="I3535" s="1">
        <v>2.4899999999999999E-2</v>
      </c>
      <c r="J3535" s="1">
        <v>0.15279999999999999</v>
      </c>
    </row>
    <row r="3536" spans="1:10" x14ac:dyDescent="0.2">
      <c r="A3536" t="str">
        <f>"20/05/2012"</f>
        <v>20/05/2012</v>
      </c>
      <c r="B3536">
        <v>1</v>
      </c>
      <c r="C3536">
        <v>22000</v>
      </c>
      <c r="D3536">
        <v>69469</v>
      </c>
      <c r="E3536">
        <v>22000</v>
      </c>
      <c r="F3536">
        <v>22000</v>
      </c>
      <c r="G3536" s="1">
        <v>2.5000000000000001E-2</v>
      </c>
      <c r="H3536" s="1">
        <v>2.4899999999999999E-2</v>
      </c>
      <c r="I3536" s="1">
        <v>2.4899999999999999E-2</v>
      </c>
      <c r="J3536" s="1">
        <v>0.1229</v>
      </c>
    </row>
    <row r="3537" spans="1:10" x14ac:dyDescent="0.2">
      <c r="A3537" t="str">
        <f>"17/05/2012"</f>
        <v>17/05/2012</v>
      </c>
      <c r="B3537">
        <v>3</v>
      </c>
      <c r="C3537">
        <v>23000</v>
      </c>
      <c r="D3537">
        <v>69226</v>
      </c>
      <c r="E3537">
        <v>23000</v>
      </c>
      <c r="F3537">
        <v>23000</v>
      </c>
      <c r="G3537" s="1">
        <v>2.5000000000000001E-2</v>
      </c>
      <c r="H3537" s="1">
        <v>2.4899999999999999E-2</v>
      </c>
      <c r="I3537" s="1">
        <v>2.4899999999999999E-2</v>
      </c>
      <c r="J3537" s="1">
        <v>0.1278</v>
      </c>
    </row>
    <row r="3538" spans="1:10" x14ac:dyDescent="0.2">
      <c r="A3538" t="str">
        <f>"16/05/2012"</f>
        <v>16/05/2012</v>
      </c>
      <c r="B3538">
        <v>1</v>
      </c>
      <c r="C3538">
        <v>20000</v>
      </c>
      <c r="D3538">
        <v>58135</v>
      </c>
      <c r="E3538">
        <v>20000</v>
      </c>
      <c r="F3538">
        <v>20000</v>
      </c>
      <c r="G3538" s="1">
        <v>2.5000000000000001E-2</v>
      </c>
      <c r="H3538" s="1">
        <v>2.4899999999999999E-2</v>
      </c>
      <c r="I3538" s="1">
        <v>2.4899999999999999E-2</v>
      </c>
      <c r="J3538" s="1">
        <v>0.1293</v>
      </c>
    </row>
    <row r="3539" spans="1:10" x14ac:dyDescent="0.2">
      <c r="A3539" t="str">
        <f>"15/05/2012"</f>
        <v>15/05/2012</v>
      </c>
      <c r="B3539">
        <v>1</v>
      </c>
      <c r="C3539">
        <v>34000</v>
      </c>
      <c r="D3539">
        <v>103920</v>
      </c>
      <c r="E3539">
        <v>34000</v>
      </c>
      <c r="F3539">
        <v>34000</v>
      </c>
      <c r="G3539" s="1">
        <v>2.5000000000000001E-2</v>
      </c>
      <c r="H3539" s="1">
        <v>2.5000000000000001E-2</v>
      </c>
      <c r="I3539" s="1">
        <v>2.5000000000000001E-2</v>
      </c>
      <c r="J3539" s="1">
        <v>0.21249999999999999</v>
      </c>
    </row>
    <row r="3540" spans="1:10" x14ac:dyDescent="0.2">
      <c r="A3540" t="str">
        <f>"14/05/2012"</f>
        <v>14/05/2012</v>
      </c>
      <c r="B3540">
        <v>1</v>
      </c>
      <c r="C3540">
        <v>35000</v>
      </c>
      <c r="D3540">
        <v>107962</v>
      </c>
      <c r="E3540">
        <v>35000</v>
      </c>
      <c r="F3540">
        <v>35000</v>
      </c>
      <c r="G3540" s="1">
        <v>2.5000000000000001E-2</v>
      </c>
      <c r="H3540" s="1">
        <v>2.5000000000000001E-2</v>
      </c>
      <c r="I3540" s="1">
        <v>2.5000000000000001E-2</v>
      </c>
      <c r="J3540" s="1">
        <v>0.20749999999999999</v>
      </c>
    </row>
    <row r="3541" spans="1:10" x14ac:dyDescent="0.2">
      <c r="A3541" t="str">
        <f>"13/05/2012"</f>
        <v>13/05/2012</v>
      </c>
      <c r="B3541">
        <v>1</v>
      </c>
      <c r="C3541">
        <v>35000</v>
      </c>
      <c r="D3541">
        <v>107980</v>
      </c>
      <c r="E3541">
        <v>35000</v>
      </c>
      <c r="F3541">
        <v>35000</v>
      </c>
      <c r="G3541" s="1">
        <v>2.5000000000000001E-2</v>
      </c>
      <c r="H3541" s="1">
        <v>2.5000000000000001E-2</v>
      </c>
      <c r="I3541" s="1">
        <v>2.5000000000000001E-2</v>
      </c>
      <c r="J3541" s="1">
        <v>0.22770000000000001</v>
      </c>
    </row>
    <row r="3542" spans="1:10" x14ac:dyDescent="0.2">
      <c r="A3542" t="str">
        <f>"10/05/2012"</f>
        <v>10/05/2012</v>
      </c>
      <c r="B3542">
        <v>3</v>
      </c>
      <c r="C3542">
        <v>35000</v>
      </c>
      <c r="D3542">
        <v>108208</v>
      </c>
      <c r="E3542">
        <v>35000</v>
      </c>
      <c r="F3542">
        <v>35000</v>
      </c>
      <c r="G3542" s="1">
        <v>2.5000000000000001E-2</v>
      </c>
      <c r="H3542" s="1">
        <v>2.5000000000000001E-2</v>
      </c>
      <c r="I3542" s="1">
        <v>2.5000000000000001E-2</v>
      </c>
      <c r="J3542" s="1">
        <v>0.2034</v>
      </c>
    </row>
    <row r="3543" spans="1:10" x14ac:dyDescent="0.2">
      <c r="A3543" t="str">
        <f>"09/05/2012"</f>
        <v>09/05/2012</v>
      </c>
      <c r="B3543">
        <v>1</v>
      </c>
      <c r="C3543">
        <v>35000</v>
      </c>
      <c r="D3543">
        <v>105446</v>
      </c>
      <c r="E3543">
        <v>35000</v>
      </c>
      <c r="F3543">
        <v>35000</v>
      </c>
      <c r="G3543" s="1">
        <v>2.5000000000000001E-2</v>
      </c>
      <c r="H3543" s="1">
        <v>2.4899999999999999E-2</v>
      </c>
      <c r="I3543" s="1">
        <v>2.4899999999999999E-2</v>
      </c>
      <c r="J3543" s="1">
        <v>0.18029999999999999</v>
      </c>
    </row>
    <row r="3544" spans="1:10" x14ac:dyDescent="0.2">
      <c r="A3544" t="str">
        <f>"08/05/2012"</f>
        <v>08/05/2012</v>
      </c>
      <c r="B3544">
        <v>1</v>
      </c>
      <c r="C3544">
        <v>36000</v>
      </c>
      <c r="D3544">
        <v>109522</v>
      </c>
      <c r="E3544">
        <v>36000</v>
      </c>
      <c r="F3544">
        <v>36000</v>
      </c>
      <c r="G3544" s="1">
        <v>2.5000000000000001E-2</v>
      </c>
      <c r="H3544" s="1">
        <v>2.4899999999999999E-2</v>
      </c>
      <c r="I3544" s="1">
        <v>2.4899999999999999E-2</v>
      </c>
      <c r="J3544" s="1">
        <v>0.18129999999999999</v>
      </c>
    </row>
    <row r="3545" spans="1:10" x14ac:dyDescent="0.2">
      <c r="A3545" t="str">
        <f>"07/05/2012"</f>
        <v>07/05/2012</v>
      </c>
      <c r="B3545">
        <v>1</v>
      </c>
      <c r="C3545">
        <v>35000</v>
      </c>
      <c r="D3545">
        <v>110481</v>
      </c>
      <c r="E3545">
        <v>35000</v>
      </c>
      <c r="F3545">
        <v>35000</v>
      </c>
      <c r="G3545" s="1">
        <v>2.5000000000000001E-2</v>
      </c>
      <c r="H3545" s="1">
        <v>2.4899999999999999E-2</v>
      </c>
      <c r="I3545" s="1">
        <v>2.4899999999999999E-2</v>
      </c>
      <c r="J3545" s="1">
        <v>0.17100000000000001</v>
      </c>
    </row>
    <row r="3546" spans="1:10" x14ac:dyDescent="0.2">
      <c r="A3546" t="str">
        <f>"06/05/2012"</f>
        <v>06/05/2012</v>
      </c>
      <c r="B3546">
        <v>1</v>
      </c>
      <c r="C3546">
        <v>35000</v>
      </c>
      <c r="D3546">
        <v>111597</v>
      </c>
      <c r="E3546">
        <v>35000</v>
      </c>
      <c r="F3546">
        <v>35000</v>
      </c>
      <c r="G3546" s="1">
        <v>2.5000000000000001E-2</v>
      </c>
      <c r="H3546" s="1">
        <v>2.4899999999999999E-2</v>
      </c>
      <c r="I3546" s="1">
        <v>2.4899999999999999E-2</v>
      </c>
      <c r="J3546" s="1">
        <v>0.18490000000000001</v>
      </c>
    </row>
    <row r="3547" spans="1:10" x14ac:dyDescent="0.2">
      <c r="A3547" t="str">
        <f>"03/05/2012"</f>
        <v>03/05/2012</v>
      </c>
      <c r="B3547">
        <v>3</v>
      </c>
      <c r="C3547">
        <v>35000</v>
      </c>
      <c r="D3547">
        <v>94048</v>
      </c>
      <c r="E3547">
        <v>35000</v>
      </c>
      <c r="F3547">
        <v>35000</v>
      </c>
      <c r="G3547" s="1">
        <v>2.5000000000000001E-2</v>
      </c>
      <c r="H3547" s="1">
        <v>2.5000000000000001E-2</v>
      </c>
      <c r="I3547" s="1">
        <v>2.5000000000000001E-2</v>
      </c>
      <c r="J3547" s="1">
        <v>0.23369999999999999</v>
      </c>
    </row>
    <row r="3548" spans="1:10" x14ac:dyDescent="0.2">
      <c r="A3548" t="str">
        <f>"02/05/2012"</f>
        <v>02/05/2012</v>
      </c>
      <c r="B3548">
        <v>1</v>
      </c>
      <c r="C3548">
        <v>36000</v>
      </c>
      <c r="D3548">
        <v>84255</v>
      </c>
      <c r="E3548">
        <v>36000</v>
      </c>
      <c r="F3548">
        <v>36000</v>
      </c>
      <c r="G3548" s="1">
        <v>2.5000000000000001E-2</v>
      </c>
      <c r="H3548" s="1">
        <v>2.5000000000000001E-2</v>
      </c>
      <c r="I3548" s="1">
        <v>2.5000000000000001E-2</v>
      </c>
      <c r="J3548" s="1">
        <v>0.27400000000000002</v>
      </c>
    </row>
    <row r="3549" spans="1:10" x14ac:dyDescent="0.2">
      <c r="A3549" t="str">
        <f>"01/05/2012"</f>
        <v>01/05/2012</v>
      </c>
      <c r="B3549">
        <v>1</v>
      </c>
      <c r="C3549">
        <v>37000</v>
      </c>
      <c r="D3549">
        <v>73287</v>
      </c>
      <c r="E3549">
        <v>37000</v>
      </c>
      <c r="F3549">
        <v>37000</v>
      </c>
      <c r="G3549" s="1">
        <v>2.5000000000000001E-2</v>
      </c>
      <c r="H3549" s="1">
        <v>2.5000000000000001E-2</v>
      </c>
      <c r="I3549" s="1">
        <v>2.5000000000000001E-2</v>
      </c>
      <c r="J3549" s="1">
        <v>0.36580000000000001</v>
      </c>
    </row>
    <row r="3550" spans="1:10" x14ac:dyDescent="0.2">
      <c r="A3550" t="str">
        <f>"30/04/2012"</f>
        <v>30/04/2012</v>
      </c>
      <c r="B3550">
        <v>1</v>
      </c>
      <c r="C3550">
        <v>32000</v>
      </c>
      <c r="D3550">
        <v>53047</v>
      </c>
      <c r="E3550">
        <v>32000</v>
      </c>
      <c r="F3550">
        <v>32000</v>
      </c>
      <c r="G3550" s="1">
        <v>2.5000000000000001E-2</v>
      </c>
      <c r="H3550" s="1">
        <v>2.5000000000000001E-2</v>
      </c>
      <c r="I3550" s="1">
        <v>2.5000000000000001E-2</v>
      </c>
      <c r="J3550" s="1">
        <v>0.4582</v>
      </c>
    </row>
    <row r="3551" spans="1:10" x14ac:dyDescent="0.2">
      <c r="A3551" t="str">
        <f>"29/04/2012"</f>
        <v>29/04/2012</v>
      </c>
      <c r="B3551">
        <v>1</v>
      </c>
      <c r="C3551">
        <v>31000</v>
      </c>
      <c r="D3551">
        <v>41579</v>
      </c>
      <c r="E3551">
        <v>31000</v>
      </c>
      <c r="F3551">
        <v>31000</v>
      </c>
      <c r="G3551" s="1">
        <v>2.5000000000000001E-2</v>
      </c>
      <c r="H3551" s="1">
        <v>2.5000000000000001E-2</v>
      </c>
      <c r="I3551" s="1">
        <v>2.5000000000000001E-2</v>
      </c>
      <c r="J3551" s="1">
        <v>0.65910000000000002</v>
      </c>
    </row>
    <row r="3552" spans="1:10" x14ac:dyDescent="0.2">
      <c r="A3552" t="str">
        <f>"25/04/2012"</f>
        <v>25/04/2012</v>
      </c>
      <c r="B3552">
        <v>4</v>
      </c>
      <c r="C3552">
        <v>25000</v>
      </c>
      <c r="D3552">
        <v>22365</v>
      </c>
      <c r="E3552">
        <v>22365</v>
      </c>
      <c r="F3552">
        <v>22365</v>
      </c>
      <c r="G3552" s="1">
        <v>2.5000000000000001E-2</v>
      </c>
      <c r="H3552" s="1">
        <v>2.4899999999999999E-2</v>
      </c>
      <c r="I3552" s="1">
        <v>2.4899999999999999E-2</v>
      </c>
      <c r="J3552" s="1">
        <v>1</v>
      </c>
    </row>
    <row r="3553" spans="1:10" x14ac:dyDescent="0.2">
      <c r="A3553" t="str">
        <f>"24/04/2012"</f>
        <v>24/04/2012</v>
      </c>
      <c r="B3553">
        <v>1</v>
      </c>
      <c r="C3553">
        <v>25000</v>
      </c>
      <c r="D3553">
        <v>24543</v>
      </c>
      <c r="E3553">
        <v>24543</v>
      </c>
      <c r="F3553">
        <v>24543</v>
      </c>
      <c r="G3553" s="1">
        <v>2.5000000000000001E-2</v>
      </c>
      <c r="H3553" s="1">
        <v>2.4899999999999999E-2</v>
      </c>
      <c r="I3553" s="1">
        <v>2.4899999999999999E-2</v>
      </c>
      <c r="J3553" s="1">
        <v>1</v>
      </c>
    </row>
    <row r="3554" spans="1:10" x14ac:dyDescent="0.2">
      <c r="A3554" t="str">
        <f>"23/04/2012"</f>
        <v>23/04/2012</v>
      </c>
      <c r="B3554">
        <v>1</v>
      </c>
      <c r="C3554">
        <v>34000</v>
      </c>
      <c r="D3554">
        <v>75373</v>
      </c>
      <c r="E3554">
        <v>34000</v>
      </c>
      <c r="F3554">
        <v>34000</v>
      </c>
      <c r="G3554" s="1">
        <v>2.5000000000000001E-2</v>
      </c>
      <c r="H3554" s="1">
        <v>2.4899999999999999E-2</v>
      </c>
      <c r="I3554" s="1">
        <v>2.4899999999999999E-2</v>
      </c>
      <c r="J3554" s="1">
        <v>0.27460000000000001</v>
      </c>
    </row>
    <row r="3555" spans="1:10" x14ac:dyDescent="0.2">
      <c r="A3555" t="str">
        <f>"22/04/2012"</f>
        <v>22/04/2012</v>
      </c>
      <c r="B3555">
        <v>1</v>
      </c>
      <c r="C3555">
        <v>34000</v>
      </c>
      <c r="D3555">
        <v>86630</v>
      </c>
      <c r="E3555">
        <v>34000</v>
      </c>
      <c r="F3555">
        <v>34000</v>
      </c>
      <c r="G3555" s="1">
        <v>2.5000000000000001E-2</v>
      </c>
      <c r="H3555" s="1">
        <v>2.4899999999999999E-2</v>
      </c>
      <c r="I3555" s="1">
        <v>2.4899999999999999E-2</v>
      </c>
      <c r="J3555" s="1">
        <v>0.21909999999999999</v>
      </c>
    </row>
    <row r="3556" spans="1:10" x14ac:dyDescent="0.2">
      <c r="A3556" t="str">
        <f>"19/04/2012"</f>
        <v>19/04/2012</v>
      </c>
      <c r="B3556">
        <v>3</v>
      </c>
      <c r="C3556">
        <v>32000</v>
      </c>
      <c r="D3556">
        <v>89755</v>
      </c>
      <c r="E3556">
        <v>32000</v>
      </c>
      <c r="F3556">
        <v>32000</v>
      </c>
      <c r="G3556" s="1">
        <v>2.5000000000000001E-2</v>
      </c>
      <c r="H3556" s="1">
        <v>2.4899999999999999E-2</v>
      </c>
      <c r="I3556" s="1">
        <v>2.4899999999999999E-2</v>
      </c>
      <c r="J3556" s="1">
        <v>0.17369999999999999</v>
      </c>
    </row>
    <row r="3557" spans="1:10" x14ac:dyDescent="0.2">
      <c r="A3557" t="str">
        <f>"18/04/2012"</f>
        <v>18/04/2012</v>
      </c>
      <c r="B3557">
        <v>1</v>
      </c>
      <c r="C3557">
        <v>32000</v>
      </c>
      <c r="D3557">
        <v>79775</v>
      </c>
      <c r="E3557">
        <v>32000</v>
      </c>
      <c r="F3557">
        <v>32000</v>
      </c>
      <c r="G3557" s="1">
        <v>2.5000000000000001E-2</v>
      </c>
      <c r="H3557" s="1">
        <v>2.4899999999999999E-2</v>
      </c>
      <c r="I3557" s="1">
        <v>2.4899999999999999E-2</v>
      </c>
      <c r="J3557" s="1">
        <v>0.17560000000000001</v>
      </c>
    </row>
    <row r="3558" spans="1:10" x14ac:dyDescent="0.2">
      <c r="A3558" t="str">
        <f>"17/04/2012"</f>
        <v>17/04/2012</v>
      </c>
      <c r="B3558">
        <v>1</v>
      </c>
      <c r="C3558">
        <v>28000</v>
      </c>
      <c r="D3558">
        <v>77531</v>
      </c>
      <c r="E3558">
        <v>28000</v>
      </c>
      <c r="F3558">
        <v>28000</v>
      </c>
      <c r="G3558" s="1">
        <v>2.5000000000000001E-2</v>
      </c>
      <c r="H3558" s="1">
        <v>2.4899999999999999E-2</v>
      </c>
      <c r="I3558" s="1">
        <v>2.4899999999999999E-2</v>
      </c>
      <c r="J3558" s="1">
        <v>0.15329999999999999</v>
      </c>
    </row>
    <row r="3559" spans="1:10" x14ac:dyDescent="0.2">
      <c r="A3559" t="str">
        <f>"16/04/2012"</f>
        <v>16/04/2012</v>
      </c>
      <c r="B3559">
        <v>1</v>
      </c>
      <c r="C3559">
        <v>29000</v>
      </c>
      <c r="D3559">
        <v>80653</v>
      </c>
      <c r="E3559">
        <v>29000</v>
      </c>
      <c r="F3559">
        <v>29000</v>
      </c>
      <c r="G3559" s="1">
        <v>2.5000000000000001E-2</v>
      </c>
      <c r="H3559" s="1">
        <v>2.4899999999999999E-2</v>
      </c>
      <c r="I3559" s="1">
        <v>2.4899999999999999E-2</v>
      </c>
      <c r="J3559" s="1">
        <v>0.18959999999999999</v>
      </c>
    </row>
    <row r="3560" spans="1:10" x14ac:dyDescent="0.2">
      <c r="A3560" t="str">
        <f>"15/04/2012"</f>
        <v>15/04/2012</v>
      </c>
      <c r="B3560">
        <v>1</v>
      </c>
      <c r="C3560">
        <v>29000</v>
      </c>
      <c r="D3560">
        <v>64412</v>
      </c>
      <c r="E3560">
        <v>29000</v>
      </c>
      <c r="F3560">
        <v>29000</v>
      </c>
      <c r="G3560" s="1">
        <v>2.5000000000000001E-2</v>
      </c>
      <c r="H3560" s="1">
        <v>2.4899999999999999E-2</v>
      </c>
      <c r="I3560" s="1">
        <v>2.4899999999999999E-2</v>
      </c>
      <c r="J3560" s="1">
        <v>0.2576</v>
      </c>
    </row>
    <row r="3561" spans="1:10" x14ac:dyDescent="0.2">
      <c r="A3561" t="str">
        <f>"11/04/2012"</f>
        <v>11/04/2012</v>
      </c>
      <c r="B3561">
        <v>4</v>
      </c>
      <c r="C3561">
        <v>35000</v>
      </c>
      <c r="D3561">
        <v>62846</v>
      </c>
      <c r="E3561">
        <v>35000</v>
      </c>
      <c r="F3561">
        <v>35000</v>
      </c>
      <c r="G3561" s="1">
        <v>2.5000000000000001E-2</v>
      </c>
      <c r="H3561" s="1">
        <v>2.4899999999999999E-2</v>
      </c>
      <c r="I3561" s="1">
        <v>2.4899999999999999E-2</v>
      </c>
      <c r="J3561" s="1">
        <v>0.38529999999999998</v>
      </c>
    </row>
    <row r="3562" spans="1:10" x14ac:dyDescent="0.2">
      <c r="A3562" t="str">
        <f>"10/04/2012"</f>
        <v>10/04/2012</v>
      </c>
      <c r="B3562">
        <v>1</v>
      </c>
      <c r="C3562">
        <v>36000</v>
      </c>
      <c r="D3562">
        <v>87222</v>
      </c>
      <c r="E3562">
        <v>36000</v>
      </c>
      <c r="F3562">
        <v>36000</v>
      </c>
      <c r="G3562" s="1">
        <v>2.5000000000000001E-2</v>
      </c>
      <c r="H3562" s="1">
        <v>2.5000000000000001E-2</v>
      </c>
      <c r="I3562" s="1">
        <v>2.5000000000000001E-2</v>
      </c>
      <c r="J3562" s="1">
        <v>0.27929999999999999</v>
      </c>
    </row>
    <row r="3563" spans="1:10" x14ac:dyDescent="0.2">
      <c r="A3563" t="str">
        <f>"09/04/2012"</f>
        <v>09/04/2012</v>
      </c>
      <c r="B3563">
        <v>1</v>
      </c>
      <c r="C3563">
        <v>36000</v>
      </c>
      <c r="D3563">
        <v>82226</v>
      </c>
      <c r="E3563">
        <v>36000</v>
      </c>
      <c r="F3563">
        <v>36000</v>
      </c>
      <c r="G3563" s="1">
        <v>2.5000000000000001E-2</v>
      </c>
      <c r="H3563" s="1">
        <v>2.5000000000000001E-2</v>
      </c>
      <c r="I3563" s="1">
        <v>2.5000000000000001E-2</v>
      </c>
      <c r="J3563" s="1">
        <v>0.31469999999999998</v>
      </c>
    </row>
    <row r="3564" spans="1:10" x14ac:dyDescent="0.2">
      <c r="A3564" t="str">
        <f>"08/04/2012"</f>
        <v>08/04/2012</v>
      </c>
      <c r="B3564">
        <v>1</v>
      </c>
      <c r="C3564">
        <v>36000</v>
      </c>
      <c r="D3564">
        <v>70783</v>
      </c>
      <c r="E3564">
        <v>36000</v>
      </c>
      <c r="F3564">
        <v>36000</v>
      </c>
      <c r="G3564" s="1">
        <v>2.5000000000000001E-2</v>
      </c>
      <c r="H3564" s="1">
        <v>2.5000000000000001E-2</v>
      </c>
      <c r="I3564" s="1">
        <v>2.5000000000000001E-2</v>
      </c>
      <c r="J3564" s="1">
        <v>0.3725</v>
      </c>
    </row>
    <row r="3565" spans="1:10" x14ac:dyDescent="0.2">
      <c r="A3565" t="str">
        <f>"05/04/2012"</f>
        <v>05/04/2012</v>
      </c>
      <c r="B3565">
        <v>3</v>
      </c>
      <c r="C3565">
        <v>36000</v>
      </c>
      <c r="D3565">
        <v>64351</v>
      </c>
      <c r="E3565">
        <v>36000</v>
      </c>
      <c r="F3565">
        <v>36000</v>
      </c>
      <c r="G3565" s="1">
        <v>2.5000000000000001E-2</v>
      </c>
      <c r="H3565" s="1">
        <v>2.5000000000000001E-2</v>
      </c>
      <c r="I3565" s="1">
        <v>2.5000000000000001E-2</v>
      </c>
      <c r="J3565" s="1">
        <v>0.40579999999999999</v>
      </c>
    </row>
    <row r="3566" spans="1:10" x14ac:dyDescent="0.2">
      <c r="A3566" t="str">
        <f>"04/04/2012"</f>
        <v>04/04/2012</v>
      </c>
      <c r="B3566">
        <v>1</v>
      </c>
      <c r="C3566">
        <v>37000</v>
      </c>
      <c r="D3566">
        <v>71443</v>
      </c>
      <c r="E3566">
        <v>37000</v>
      </c>
      <c r="F3566">
        <v>37000</v>
      </c>
      <c r="G3566" s="1">
        <v>2.5000000000000001E-2</v>
      </c>
      <c r="H3566" s="1">
        <v>2.5000000000000001E-2</v>
      </c>
      <c r="I3566" s="1">
        <v>2.5000000000000001E-2</v>
      </c>
      <c r="J3566" s="1">
        <v>0.37880000000000003</v>
      </c>
    </row>
    <row r="3567" spans="1:10" x14ac:dyDescent="0.2">
      <c r="A3567" t="str">
        <f>"03/04/2012"</f>
        <v>03/04/2012</v>
      </c>
      <c r="B3567">
        <v>1</v>
      </c>
      <c r="C3567">
        <v>35000</v>
      </c>
      <c r="D3567">
        <v>67907</v>
      </c>
      <c r="E3567">
        <v>35000</v>
      </c>
      <c r="F3567">
        <v>35000</v>
      </c>
      <c r="G3567" s="1">
        <v>2.5000000000000001E-2</v>
      </c>
      <c r="H3567" s="1">
        <v>2.5000000000000001E-2</v>
      </c>
      <c r="I3567" s="1">
        <v>2.5000000000000001E-2</v>
      </c>
      <c r="J3567" s="1">
        <v>0.40429999999999999</v>
      </c>
    </row>
    <row r="3568" spans="1:10" x14ac:dyDescent="0.2">
      <c r="A3568" t="str">
        <f>"02/04/2012"</f>
        <v>02/04/2012</v>
      </c>
      <c r="B3568">
        <v>1</v>
      </c>
      <c r="C3568">
        <v>36000</v>
      </c>
      <c r="D3568">
        <v>59180</v>
      </c>
      <c r="E3568">
        <v>36000</v>
      </c>
      <c r="F3568">
        <v>36000</v>
      </c>
      <c r="G3568" s="1">
        <v>2.5000000000000001E-2</v>
      </c>
      <c r="H3568" s="1">
        <v>2.5000000000000001E-2</v>
      </c>
      <c r="I3568" s="1">
        <v>2.5000000000000001E-2</v>
      </c>
      <c r="J3568" s="1">
        <v>0.52769999999999995</v>
      </c>
    </row>
    <row r="3569" spans="1:10" x14ac:dyDescent="0.2">
      <c r="A3569" t="str">
        <f>"01/04/2012"</f>
        <v>01/04/2012</v>
      </c>
      <c r="B3569">
        <v>1</v>
      </c>
      <c r="C3569">
        <v>36000</v>
      </c>
      <c r="D3569">
        <v>51305</v>
      </c>
      <c r="E3569">
        <v>36000</v>
      </c>
      <c r="F3569">
        <v>36000</v>
      </c>
      <c r="G3569" s="1">
        <v>2.5000000000000001E-2</v>
      </c>
      <c r="H3569" s="1">
        <v>2.5000000000000001E-2</v>
      </c>
      <c r="I3569" s="1">
        <v>2.5000000000000001E-2</v>
      </c>
      <c r="J3569" s="1">
        <v>0.65269999999999995</v>
      </c>
    </row>
    <row r="3570" spans="1:10" x14ac:dyDescent="0.2">
      <c r="A3570" t="str">
        <f>"30/03/2012"</f>
        <v>30/03/2012</v>
      </c>
      <c r="B3570">
        <v>2</v>
      </c>
      <c r="C3570">
        <v>10000</v>
      </c>
      <c r="D3570">
        <v>9625</v>
      </c>
      <c r="E3570">
        <v>9625</v>
      </c>
      <c r="F3570">
        <v>9625</v>
      </c>
      <c r="G3570" s="1">
        <v>2.5000000000000001E-2</v>
      </c>
      <c r="H3570" s="1">
        <v>2.5000000000000001E-2</v>
      </c>
      <c r="I3570" s="1">
        <v>2.5000000000000001E-2</v>
      </c>
      <c r="J3570" s="1">
        <v>1</v>
      </c>
    </row>
    <row r="3571" spans="1:10" x14ac:dyDescent="0.2">
      <c r="A3571" t="str">
        <f>"29/03/2012"</f>
        <v>29/03/2012</v>
      </c>
      <c r="B3571">
        <v>3</v>
      </c>
      <c r="C3571">
        <v>18000</v>
      </c>
      <c r="D3571">
        <v>23860</v>
      </c>
      <c r="E3571">
        <v>18000</v>
      </c>
      <c r="F3571">
        <v>18000</v>
      </c>
      <c r="G3571" s="1">
        <v>2.5000000000000001E-2</v>
      </c>
      <c r="H3571" s="1">
        <v>2.5000000000000001E-2</v>
      </c>
      <c r="I3571" s="1">
        <v>2.5000000000000001E-2</v>
      </c>
      <c r="J3571" s="1">
        <v>0.60640000000000005</v>
      </c>
    </row>
    <row r="3572" spans="1:10" x14ac:dyDescent="0.2">
      <c r="A3572" t="str">
        <f>"28/03/2012"</f>
        <v>28/03/2012</v>
      </c>
      <c r="B3572">
        <v>1</v>
      </c>
      <c r="C3572">
        <v>19000</v>
      </c>
      <c r="D3572">
        <v>17313</v>
      </c>
      <c r="E3572">
        <v>17313</v>
      </c>
      <c r="F3572">
        <v>17313</v>
      </c>
      <c r="G3572" s="1">
        <v>2.5000000000000001E-2</v>
      </c>
      <c r="H3572" s="1">
        <v>2.4899999999999999E-2</v>
      </c>
      <c r="I3572" s="1">
        <v>2.4899999999999999E-2</v>
      </c>
      <c r="J3572" s="1">
        <v>1</v>
      </c>
    </row>
    <row r="3573" spans="1:10" x14ac:dyDescent="0.2">
      <c r="A3573" t="str">
        <f>"27/03/2012"</f>
        <v>27/03/2012</v>
      </c>
      <c r="B3573">
        <v>1</v>
      </c>
      <c r="C3573">
        <v>15000</v>
      </c>
      <c r="D3573">
        <v>29817</v>
      </c>
      <c r="E3573">
        <v>15000</v>
      </c>
      <c r="F3573">
        <v>15000</v>
      </c>
      <c r="G3573" s="1">
        <v>2.5000000000000001E-2</v>
      </c>
      <c r="H3573" s="1">
        <v>2.4899999999999999E-2</v>
      </c>
      <c r="I3573" s="1">
        <v>2.4899999999999999E-2</v>
      </c>
      <c r="J3573" s="1">
        <v>0.32650000000000001</v>
      </c>
    </row>
    <row r="3574" spans="1:10" x14ac:dyDescent="0.2">
      <c r="A3574" t="str">
        <f>"26/03/2012"</f>
        <v>26/03/2012</v>
      </c>
      <c r="B3574">
        <v>1</v>
      </c>
      <c r="C3574">
        <v>17000</v>
      </c>
      <c r="D3574">
        <v>34516</v>
      </c>
      <c r="E3574">
        <v>17000</v>
      </c>
      <c r="F3574">
        <v>17000</v>
      </c>
      <c r="G3574" s="1">
        <v>2.5000000000000001E-2</v>
      </c>
      <c r="H3574" s="1">
        <v>2.5000000000000001E-2</v>
      </c>
      <c r="I3574" s="1">
        <v>2.5000000000000001E-2</v>
      </c>
      <c r="J3574" s="1">
        <v>0.42570000000000002</v>
      </c>
    </row>
    <row r="3575" spans="1:10" x14ac:dyDescent="0.2">
      <c r="A3575" t="str">
        <f>"25/03/2012"</f>
        <v>25/03/2012</v>
      </c>
      <c r="B3575">
        <v>1</v>
      </c>
      <c r="C3575">
        <v>18000</v>
      </c>
      <c r="D3575">
        <v>45503</v>
      </c>
      <c r="E3575">
        <v>18000</v>
      </c>
      <c r="F3575">
        <v>18000</v>
      </c>
      <c r="G3575" s="1">
        <v>2.5000000000000001E-2</v>
      </c>
      <c r="H3575" s="1">
        <v>2.5000000000000001E-2</v>
      </c>
      <c r="I3575" s="1">
        <v>2.5000000000000001E-2</v>
      </c>
      <c r="J3575" s="1">
        <v>0.30719999999999997</v>
      </c>
    </row>
    <row r="3576" spans="1:10" x14ac:dyDescent="0.2">
      <c r="A3576" t="str">
        <f>"22/03/2012"</f>
        <v>22/03/2012</v>
      </c>
      <c r="B3576">
        <v>3</v>
      </c>
      <c r="C3576">
        <v>18000</v>
      </c>
      <c r="D3576">
        <v>46295</v>
      </c>
      <c r="E3576">
        <v>18000</v>
      </c>
      <c r="F3576">
        <v>18000</v>
      </c>
      <c r="G3576" s="1">
        <v>2.5000000000000001E-2</v>
      </c>
      <c r="H3576" s="1">
        <v>2.4899999999999999E-2</v>
      </c>
      <c r="I3576" s="1">
        <v>2.4899999999999999E-2</v>
      </c>
      <c r="J3576" s="1">
        <v>0.20300000000000001</v>
      </c>
    </row>
    <row r="3577" spans="1:10" x14ac:dyDescent="0.2">
      <c r="A3577" t="str">
        <f>"21/03/2012"</f>
        <v>21/03/2012</v>
      </c>
      <c r="B3577">
        <v>1</v>
      </c>
      <c r="C3577">
        <v>19000</v>
      </c>
      <c r="D3577">
        <v>62515</v>
      </c>
      <c r="E3577">
        <v>19000</v>
      </c>
      <c r="F3577">
        <v>19000</v>
      </c>
      <c r="G3577" s="1">
        <v>2.5000000000000001E-2</v>
      </c>
      <c r="H3577" s="1">
        <v>2.5000000000000001E-2</v>
      </c>
      <c r="I3577" s="1">
        <v>2.5000000000000001E-2</v>
      </c>
      <c r="J3577" s="1">
        <v>0.18820000000000001</v>
      </c>
    </row>
    <row r="3578" spans="1:10" x14ac:dyDescent="0.2">
      <c r="A3578" t="str">
        <f>"20/03/2012"</f>
        <v>20/03/2012</v>
      </c>
      <c r="B3578">
        <v>1</v>
      </c>
      <c r="C3578">
        <v>19000</v>
      </c>
      <c r="D3578">
        <v>63814</v>
      </c>
      <c r="E3578">
        <v>19000</v>
      </c>
      <c r="F3578">
        <v>19000</v>
      </c>
      <c r="G3578" s="1">
        <v>2.5000000000000001E-2</v>
      </c>
      <c r="H3578" s="1">
        <v>2.4899999999999999E-2</v>
      </c>
      <c r="I3578" s="1">
        <v>2.4899999999999999E-2</v>
      </c>
      <c r="J3578" s="1">
        <v>0.1701</v>
      </c>
    </row>
    <row r="3579" spans="1:10" x14ac:dyDescent="0.2">
      <c r="A3579" t="str">
        <f>"19/03/2012"</f>
        <v>19/03/2012</v>
      </c>
      <c r="B3579">
        <v>1</v>
      </c>
      <c r="C3579">
        <v>20000</v>
      </c>
      <c r="D3579">
        <v>65132</v>
      </c>
      <c r="E3579">
        <v>20000</v>
      </c>
      <c r="F3579">
        <v>20000</v>
      </c>
      <c r="G3579" s="1">
        <v>2.5000000000000001E-2</v>
      </c>
      <c r="H3579" s="1">
        <v>2.4899999999999999E-2</v>
      </c>
      <c r="I3579" s="1">
        <v>2.4899999999999999E-2</v>
      </c>
      <c r="J3579" s="1">
        <v>0.1769</v>
      </c>
    </row>
    <row r="3580" spans="1:10" x14ac:dyDescent="0.2">
      <c r="A3580" t="str">
        <f>"18/03/2012"</f>
        <v>18/03/2012</v>
      </c>
      <c r="B3580">
        <v>1</v>
      </c>
      <c r="C3580">
        <v>20000</v>
      </c>
      <c r="D3580">
        <v>67400</v>
      </c>
      <c r="E3580">
        <v>20000</v>
      </c>
      <c r="F3580">
        <v>20000</v>
      </c>
      <c r="G3580" s="1">
        <v>2.5000000000000001E-2</v>
      </c>
      <c r="H3580" s="1">
        <v>2.5000000000000001E-2</v>
      </c>
      <c r="I3580" s="1">
        <v>2.5000000000000001E-2</v>
      </c>
      <c r="J3580" s="1">
        <v>0.19439999999999999</v>
      </c>
    </row>
    <row r="3581" spans="1:10" x14ac:dyDescent="0.2">
      <c r="A3581" t="str">
        <f>"15/03/2012"</f>
        <v>15/03/2012</v>
      </c>
      <c r="B3581">
        <v>3</v>
      </c>
      <c r="C3581">
        <v>22000</v>
      </c>
      <c r="D3581">
        <v>69516</v>
      </c>
      <c r="E3581">
        <v>22000</v>
      </c>
      <c r="F3581">
        <v>22000</v>
      </c>
      <c r="G3581" s="1">
        <v>2.5000000000000001E-2</v>
      </c>
      <c r="H3581" s="1">
        <v>2.5000000000000001E-2</v>
      </c>
      <c r="I3581" s="1">
        <v>2.5000000000000001E-2</v>
      </c>
      <c r="J3581" s="1">
        <v>0.21540000000000001</v>
      </c>
    </row>
    <row r="3582" spans="1:10" x14ac:dyDescent="0.2">
      <c r="A3582" t="str">
        <f>"15/03/2012"</f>
        <v>15/03/2012</v>
      </c>
      <c r="B3582">
        <v>1</v>
      </c>
      <c r="C3582">
        <v>10000</v>
      </c>
      <c r="D3582">
        <v>18130</v>
      </c>
      <c r="E3582">
        <v>10000</v>
      </c>
      <c r="F3582">
        <v>10000</v>
      </c>
      <c r="G3582" s="1">
        <v>2.5000000000000001E-2</v>
      </c>
      <c r="H3582" s="1">
        <v>2.5000000000000001E-2</v>
      </c>
      <c r="I3582" s="1">
        <v>2.5000000000000001E-2</v>
      </c>
      <c r="J3582" s="1">
        <v>0.50729999999999997</v>
      </c>
    </row>
    <row r="3583" spans="1:10" x14ac:dyDescent="0.2">
      <c r="A3583" t="str">
        <f>"14/03/2012"</f>
        <v>14/03/2012</v>
      </c>
      <c r="B3583">
        <v>1</v>
      </c>
      <c r="C3583">
        <v>30000</v>
      </c>
      <c r="D3583">
        <v>80874</v>
      </c>
      <c r="E3583">
        <v>30000</v>
      </c>
      <c r="F3583">
        <v>30000</v>
      </c>
      <c r="G3583" s="1">
        <v>2.5000000000000001E-2</v>
      </c>
      <c r="H3583" s="1">
        <v>2.5000000000000001E-2</v>
      </c>
      <c r="I3583" s="1">
        <v>2.5000000000000001E-2</v>
      </c>
      <c r="J3583" s="1">
        <v>0.29360000000000003</v>
      </c>
    </row>
    <row r="3584" spans="1:10" x14ac:dyDescent="0.2">
      <c r="A3584" t="str">
        <f>"13/03/2012"</f>
        <v>13/03/2012</v>
      </c>
      <c r="B3584">
        <v>1</v>
      </c>
      <c r="C3584">
        <v>30000</v>
      </c>
      <c r="D3584">
        <v>77857</v>
      </c>
      <c r="E3584">
        <v>30000</v>
      </c>
      <c r="F3584">
        <v>30000</v>
      </c>
      <c r="G3584" s="1">
        <v>2.5000000000000001E-2</v>
      </c>
      <c r="H3584" s="1">
        <v>2.5000000000000001E-2</v>
      </c>
      <c r="I3584" s="1">
        <v>2.5000000000000001E-2</v>
      </c>
      <c r="J3584" s="1">
        <v>0.2863</v>
      </c>
    </row>
    <row r="3585" spans="1:10" x14ac:dyDescent="0.2">
      <c r="A3585" t="str">
        <f>"12/03/2012"</f>
        <v>12/03/2012</v>
      </c>
      <c r="B3585">
        <v>1</v>
      </c>
      <c r="C3585">
        <v>31000</v>
      </c>
      <c r="D3585">
        <v>75427</v>
      </c>
      <c r="E3585">
        <v>31000</v>
      </c>
      <c r="F3585">
        <v>31000</v>
      </c>
      <c r="G3585" s="1">
        <v>2.5000000000000001E-2</v>
      </c>
      <c r="H3585" s="1">
        <v>2.5000000000000001E-2</v>
      </c>
      <c r="I3585" s="1">
        <v>2.5000000000000001E-2</v>
      </c>
      <c r="J3585" s="1">
        <v>0.3175</v>
      </c>
    </row>
    <row r="3586" spans="1:10" x14ac:dyDescent="0.2">
      <c r="A3586" t="str">
        <f>"11/03/2012"</f>
        <v>11/03/2012</v>
      </c>
      <c r="B3586">
        <v>1</v>
      </c>
      <c r="C3586">
        <v>31000</v>
      </c>
      <c r="D3586">
        <v>68977</v>
      </c>
      <c r="E3586">
        <v>31000</v>
      </c>
      <c r="F3586">
        <v>31000</v>
      </c>
      <c r="G3586" s="1">
        <v>2.5000000000000001E-2</v>
      </c>
      <c r="H3586" s="1">
        <v>2.5000000000000001E-2</v>
      </c>
      <c r="I3586" s="1">
        <v>2.5000000000000001E-2</v>
      </c>
      <c r="J3586" s="1">
        <v>0.36720000000000003</v>
      </c>
    </row>
    <row r="3587" spans="1:10" x14ac:dyDescent="0.2">
      <c r="A3587" t="str">
        <f>"07/03/2012"</f>
        <v>07/03/2012</v>
      </c>
      <c r="B3587">
        <v>4</v>
      </c>
      <c r="C3587">
        <v>31000</v>
      </c>
      <c r="D3587">
        <v>61405</v>
      </c>
      <c r="E3587">
        <v>31000</v>
      </c>
      <c r="F3587">
        <v>31000</v>
      </c>
      <c r="G3587" s="1">
        <v>2.5000000000000001E-2</v>
      </c>
      <c r="H3587" s="1">
        <v>2.5000000000000001E-2</v>
      </c>
      <c r="I3587" s="1">
        <v>2.5000000000000001E-2</v>
      </c>
      <c r="J3587" s="1">
        <v>0.41499999999999998</v>
      </c>
    </row>
    <row r="3588" spans="1:10" x14ac:dyDescent="0.2">
      <c r="A3588" t="str">
        <f>"06/03/2012"</f>
        <v>06/03/2012</v>
      </c>
      <c r="B3588">
        <v>1</v>
      </c>
      <c r="C3588">
        <v>40000</v>
      </c>
      <c r="D3588">
        <v>78850</v>
      </c>
      <c r="E3588">
        <v>40000</v>
      </c>
      <c r="F3588">
        <v>40000</v>
      </c>
      <c r="G3588" s="1">
        <v>2.5000000000000001E-2</v>
      </c>
      <c r="H3588" s="1">
        <v>2.5000000000000001E-2</v>
      </c>
      <c r="I3588" s="1">
        <v>2.5000000000000001E-2</v>
      </c>
      <c r="J3588" s="1">
        <v>0.44340000000000002</v>
      </c>
    </row>
    <row r="3589" spans="1:10" x14ac:dyDescent="0.2">
      <c r="A3589" t="str">
        <f>"05/03/2012"</f>
        <v>05/03/2012</v>
      </c>
      <c r="B3589">
        <v>1</v>
      </c>
      <c r="C3589">
        <v>41000</v>
      </c>
      <c r="D3589">
        <v>68072</v>
      </c>
      <c r="E3589">
        <v>41000</v>
      </c>
      <c r="F3589">
        <v>41000</v>
      </c>
      <c r="G3589" s="1">
        <v>2.5000000000000001E-2</v>
      </c>
      <c r="H3589" s="1">
        <v>2.5000000000000001E-2</v>
      </c>
      <c r="I3589" s="1">
        <v>2.5000000000000001E-2</v>
      </c>
      <c r="J3589" s="1">
        <v>0.54700000000000004</v>
      </c>
    </row>
    <row r="3590" spans="1:10" x14ac:dyDescent="0.2">
      <c r="A3590" t="str">
        <f>"04/03/2012"</f>
        <v>04/03/2012</v>
      </c>
      <c r="B3590">
        <v>1</v>
      </c>
      <c r="C3590">
        <v>40000</v>
      </c>
      <c r="D3590">
        <v>59164</v>
      </c>
      <c r="E3590">
        <v>40000</v>
      </c>
      <c r="F3590">
        <v>40000</v>
      </c>
      <c r="G3590" s="1">
        <v>2.5000000000000001E-2</v>
      </c>
      <c r="H3590" s="1">
        <v>2.5000000000000001E-2</v>
      </c>
      <c r="I3590" s="1">
        <v>2.5000000000000001E-2</v>
      </c>
      <c r="J3590" s="1">
        <v>0.64749999999999996</v>
      </c>
    </row>
    <row r="3591" spans="1:10" x14ac:dyDescent="0.2">
      <c r="A3591" t="str">
        <f>"01/03/2012"</f>
        <v>01/03/2012</v>
      </c>
      <c r="B3591">
        <v>3</v>
      </c>
      <c r="C3591">
        <v>40000</v>
      </c>
      <c r="D3591">
        <v>46755</v>
      </c>
      <c r="E3591">
        <v>40000</v>
      </c>
      <c r="F3591">
        <v>40000</v>
      </c>
      <c r="G3591" s="1">
        <v>2.5000000000000001E-2</v>
      </c>
      <c r="H3591" s="1">
        <v>2.5000000000000001E-2</v>
      </c>
      <c r="I3591" s="1">
        <v>2.5000000000000001E-2</v>
      </c>
      <c r="J3591" s="1">
        <v>0.83530000000000004</v>
      </c>
    </row>
    <row r="3592" spans="1:10" x14ac:dyDescent="0.2">
      <c r="A3592" t="str">
        <f>"29/02/2012"</f>
        <v>29/02/2012</v>
      </c>
      <c r="B3592">
        <v>1</v>
      </c>
      <c r="C3592">
        <v>32000</v>
      </c>
      <c r="D3592">
        <v>30181</v>
      </c>
      <c r="E3592">
        <v>30181</v>
      </c>
      <c r="F3592">
        <v>30181</v>
      </c>
      <c r="G3592" s="1">
        <v>2.5000000000000001E-2</v>
      </c>
      <c r="H3592" s="1">
        <v>2.4899999999999999E-2</v>
      </c>
      <c r="I3592" s="1">
        <v>2.4899999999999999E-2</v>
      </c>
      <c r="J3592" s="1">
        <v>1</v>
      </c>
    </row>
    <row r="3593" spans="1:10" x14ac:dyDescent="0.2">
      <c r="A3593" t="str">
        <f>"28/02/2012"</f>
        <v>28/02/2012</v>
      </c>
      <c r="B3593">
        <v>1</v>
      </c>
      <c r="C3593">
        <v>20000</v>
      </c>
      <c r="D3593">
        <v>45045</v>
      </c>
      <c r="E3593">
        <v>20000</v>
      </c>
      <c r="F3593">
        <v>20000</v>
      </c>
      <c r="G3593" s="1">
        <v>2.5000000000000001E-2</v>
      </c>
      <c r="H3593" s="1">
        <v>2.4899999999999999E-2</v>
      </c>
      <c r="I3593" s="1">
        <v>2.4899999999999999E-2</v>
      </c>
      <c r="J3593" s="1">
        <v>0.27410000000000001</v>
      </c>
    </row>
    <row r="3594" spans="1:10" x14ac:dyDescent="0.2">
      <c r="A3594" t="str">
        <f>"27/02/2012"</f>
        <v>27/02/2012</v>
      </c>
      <c r="B3594">
        <v>1</v>
      </c>
      <c r="C3594">
        <v>19000</v>
      </c>
      <c r="D3594">
        <v>35803</v>
      </c>
      <c r="E3594">
        <v>19000</v>
      </c>
      <c r="F3594">
        <v>19000</v>
      </c>
      <c r="G3594" s="1">
        <v>2.5000000000000001E-2</v>
      </c>
      <c r="H3594" s="1">
        <v>2.4899999999999999E-2</v>
      </c>
      <c r="I3594" s="1">
        <v>2.4899999999999999E-2</v>
      </c>
      <c r="J3594" s="1">
        <v>0.3659</v>
      </c>
    </row>
    <row r="3595" spans="1:10" x14ac:dyDescent="0.2">
      <c r="A3595" t="str">
        <f>"26/02/2012"</f>
        <v>26/02/2012</v>
      </c>
      <c r="B3595">
        <v>1</v>
      </c>
      <c r="C3595">
        <v>20000</v>
      </c>
      <c r="D3595">
        <v>31810</v>
      </c>
      <c r="E3595">
        <v>20000</v>
      </c>
      <c r="F3595">
        <v>20000</v>
      </c>
      <c r="G3595" s="1">
        <v>2.5000000000000001E-2</v>
      </c>
      <c r="H3595" s="1">
        <v>2.4899999999999999E-2</v>
      </c>
      <c r="I3595" s="1">
        <v>2.4899999999999999E-2</v>
      </c>
      <c r="J3595" s="1">
        <v>0.45179999999999998</v>
      </c>
    </row>
    <row r="3596" spans="1:10" x14ac:dyDescent="0.2">
      <c r="A3596" t="str">
        <f>"23/02/2012"</f>
        <v>23/02/2012</v>
      </c>
      <c r="B3596">
        <v>3</v>
      </c>
      <c r="C3596">
        <v>20000</v>
      </c>
      <c r="D3596">
        <v>25124</v>
      </c>
      <c r="E3596">
        <v>20000</v>
      </c>
      <c r="F3596">
        <v>20000</v>
      </c>
      <c r="G3596" s="1">
        <v>2.5000000000000001E-2</v>
      </c>
      <c r="H3596" s="1">
        <v>2.4899999999999999E-2</v>
      </c>
      <c r="I3596" s="1">
        <v>2.4899999999999999E-2</v>
      </c>
      <c r="J3596" s="1">
        <v>0.58509999999999995</v>
      </c>
    </row>
    <row r="3597" spans="1:10" x14ac:dyDescent="0.2">
      <c r="A3597" t="str">
        <f>"22/02/2012"</f>
        <v>22/02/2012</v>
      </c>
      <c r="B3597">
        <v>1</v>
      </c>
      <c r="C3597">
        <v>25000</v>
      </c>
      <c r="D3597">
        <v>32487</v>
      </c>
      <c r="E3597">
        <v>25000</v>
      </c>
      <c r="F3597">
        <v>25000</v>
      </c>
      <c r="G3597" s="1">
        <v>2.5000000000000001E-2</v>
      </c>
      <c r="H3597" s="1">
        <v>2.4899999999999999E-2</v>
      </c>
      <c r="I3597" s="1">
        <v>2.4899999999999999E-2</v>
      </c>
      <c r="J3597" s="1">
        <v>0.61229999999999996</v>
      </c>
    </row>
    <row r="3598" spans="1:10" x14ac:dyDescent="0.2">
      <c r="A3598" t="str">
        <f>"21/02/2012"</f>
        <v>21/02/2012</v>
      </c>
      <c r="B3598">
        <v>1</v>
      </c>
      <c r="C3598">
        <v>26000</v>
      </c>
      <c r="D3598">
        <v>34307</v>
      </c>
      <c r="E3598">
        <v>26000</v>
      </c>
      <c r="F3598">
        <v>26000</v>
      </c>
      <c r="G3598" s="1">
        <v>2.5000000000000001E-2</v>
      </c>
      <c r="H3598" s="1">
        <v>2.5000000000000001E-2</v>
      </c>
      <c r="I3598" s="1">
        <v>2.5000000000000001E-2</v>
      </c>
      <c r="J3598" s="1">
        <v>0.71079999999999999</v>
      </c>
    </row>
    <row r="3599" spans="1:10" x14ac:dyDescent="0.2">
      <c r="A3599" t="str">
        <f>"20/02/2012"</f>
        <v>20/02/2012</v>
      </c>
      <c r="B3599">
        <v>1</v>
      </c>
      <c r="C3599">
        <v>28000</v>
      </c>
      <c r="D3599">
        <v>36286</v>
      </c>
      <c r="E3599">
        <v>28000</v>
      </c>
      <c r="F3599">
        <v>28000</v>
      </c>
      <c r="G3599" s="1">
        <v>2.5000000000000001E-2</v>
      </c>
      <c r="H3599" s="1">
        <v>2.5000000000000001E-2</v>
      </c>
      <c r="I3599" s="1">
        <v>2.5000000000000001E-2</v>
      </c>
      <c r="J3599" s="1">
        <v>0.73250000000000004</v>
      </c>
    </row>
    <row r="3600" spans="1:10" x14ac:dyDescent="0.2">
      <c r="A3600" t="str">
        <f>"19/02/2012"</f>
        <v>19/02/2012</v>
      </c>
      <c r="B3600">
        <v>1</v>
      </c>
      <c r="C3600">
        <v>28000</v>
      </c>
      <c r="D3600">
        <v>32231</v>
      </c>
      <c r="E3600">
        <v>28000</v>
      </c>
      <c r="F3600">
        <v>28000</v>
      </c>
      <c r="G3600" s="1">
        <v>2.5000000000000001E-2</v>
      </c>
      <c r="H3600" s="1">
        <v>2.5000000000000001E-2</v>
      </c>
      <c r="I3600" s="1">
        <v>2.5000000000000001E-2</v>
      </c>
      <c r="J3600" s="1">
        <v>0.82709999999999995</v>
      </c>
    </row>
    <row r="3601" spans="1:10" x14ac:dyDescent="0.2">
      <c r="A3601" t="str">
        <f>"16/02/2012"</f>
        <v>16/02/2012</v>
      </c>
      <c r="B3601">
        <v>3</v>
      </c>
      <c r="C3601">
        <v>30000</v>
      </c>
      <c r="D3601">
        <v>30876</v>
      </c>
      <c r="E3601">
        <v>30000</v>
      </c>
      <c r="F3601">
        <v>30000</v>
      </c>
      <c r="G3601" s="1">
        <v>2.5000000000000001E-2</v>
      </c>
      <c r="H3601" s="1">
        <v>2.5000000000000001E-2</v>
      </c>
      <c r="I3601" s="1">
        <v>2.5000000000000001E-2</v>
      </c>
      <c r="J3601" s="1">
        <v>0.96279999999999999</v>
      </c>
    </row>
    <row r="3602" spans="1:10" x14ac:dyDescent="0.2">
      <c r="A3602" t="str">
        <f>"15/02/2012"</f>
        <v>15/02/2012</v>
      </c>
      <c r="B3602">
        <v>1</v>
      </c>
      <c r="C3602">
        <v>46000</v>
      </c>
      <c r="D3602">
        <v>45433</v>
      </c>
      <c r="E3602">
        <v>45433</v>
      </c>
      <c r="F3602">
        <v>45433</v>
      </c>
      <c r="G3602" s="1">
        <v>2.5000000000000001E-2</v>
      </c>
      <c r="H3602" s="1">
        <v>2.5000000000000001E-2</v>
      </c>
      <c r="I3602" s="1">
        <v>2.5000000000000001E-2</v>
      </c>
      <c r="J3602" s="1">
        <v>1</v>
      </c>
    </row>
    <row r="3603" spans="1:10" x14ac:dyDescent="0.2">
      <c r="A3603" t="str">
        <f>"14/02/2012"</f>
        <v>14/02/2012</v>
      </c>
      <c r="B3603">
        <v>1</v>
      </c>
      <c r="C3603">
        <v>47000</v>
      </c>
      <c r="D3603">
        <v>47255</v>
      </c>
      <c r="E3603">
        <v>47000</v>
      </c>
      <c r="F3603">
        <v>47000</v>
      </c>
      <c r="G3603" s="1">
        <v>2.5000000000000001E-2</v>
      </c>
      <c r="H3603" s="1">
        <v>2.5000000000000001E-2</v>
      </c>
      <c r="I3603" s="1">
        <v>2.5000000000000001E-2</v>
      </c>
      <c r="J3603" s="1">
        <v>0.99319999999999997</v>
      </c>
    </row>
    <row r="3604" spans="1:10" x14ac:dyDescent="0.2">
      <c r="A3604" t="str">
        <f>"13/02/2012"</f>
        <v>13/02/2012</v>
      </c>
      <c r="B3604">
        <v>1</v>
      </c>
      <c r="C3604">
        <v>50000</v>
      </c>
      <c r="D3604">
        <v>48400</v>
      </c>
      <c r="E3604">
        <v>48400</v>
      </c>
      <c r="F3604">
        <v>48400</v>
      </c>
      <c r="G3604" s="1">
        <v>2.5000000000000001E-2</v>
      </c>
      <c r="H3604" s="1">
        <v>2.5000000000000001E-2</v>
      </c>
      <c r="I3604" s="1">
        <v>2.5000000000000001E-2</v>
      </c>
      <c r="J3604" s="1">
        <v>1</v>
      </c>
    </row>
    <row r="3605" spans="1:10" x14ac:dyDescent="0.2">
      <c r="A3605" t="str">
        <f>"12/02/2012"</f>
        <v>12/02/2012</v>
      </c>
      <c r="B3605">
        <v>1</v>
      </c>
      <c r="C3605">
        <v>52000</v>
      </c>
      <c r="D3605">
        <v>49300</v>
      </c>
      <c r="E3605">
        <v>49300</v>
      </c>
      <c r="F3605">
        <v>49300</v>
      </c>
      <c r="G3605" s="1">
        <v>2.5000000000000001E-2</v>
      </c>
      <c r="H3605" s="1">
        <v>2.5000000000000001E-2</v>
      </c>
      <c r="I3605" s="1">
        <v>2.5000000000000001E-2</v>
      </c>
      <c r="J3605" s="1">
        <v>1</v>
      </c>
    </row>
    <row r="3606" spans="1:10" x14ac:dyDescent="0.2">
      <c r="A3606" t="str">
        <f>"07/02/2012"</f>
        <v>07/02/2012</v>
      </c>
      <c r="B3606">
        <v>1</v>
      </c>
      <c r="C3606">
        <v>44000</v>
      </c>
      <c r="D3606">
        <v>106640</v>
      </c>
      <c r="E3606">
        <v>44000</v>
      </c>
      <c r="F3606">
        <v>44000</v>
      </c>
      <c r="G3606" s="1">
        <v>2.5000000000000001E-2</v>
      </c>
      <c r="H3606" s="1">
        <v>2.5000000000000001E-2</v>
      </c>
      <c r="I3606" s="1">
        <v>2.5000000000000001E-2</v>
      </c>
      <c r="J3606" s="1">
        <v>0.32279999999999998</v>
      </c>
    </row>
    <row r="3607" spans="1:10" x14ac:dyDescent="0.2">
      <c r="A3607" t="str">
        <f>"06/02/2012"</f>
        <v>06/02/2012</v>
      </c>
      <c r="B3607">
        <v>1</v>
      </c>
      <c r="C3607">
        <v>45000</v>
      </c>
      <c r="D3607">
        <v>114230</v>
      </c>
      <c r="E3607">
        <v>45000</v>
      </c>
      <c r="F3607">
        <v>45000</v>
      </c>
      <c r="G3607" s="1">
        <v>2.5000000000000001E-2</v>
      </c>
      <c r="H3607" s="1">
        <v>2.5000000000000001E-2</v>
      </c>
      <c r="I3607" s="1">
        <v>2.5000000000000001E-2</v>
      </c>
      <c r="J3607" s="1">
        <v>0.3014</v>
      </c>
    </row>
    <row r="3608" spans="1:10" x14ac:dyDescent="0.2">
      <c r="A3608" t="str">
        <f>"05/02/2012"</f>
        <v>05/02/2012</v>
      </c>
      <c r="B3608">
        <v>1</v>
      </c>
      <c r="C3608">
        <v>45000</v>
      </c>
      <c r="D3608">
        <v>116530</v>
      </c>
      <c r="E3608">
        <v>45000</v>
      </c>
      <c r="F3608">
        <v>45000</v>
      </c>
      <c r="G3608" s="1">
        <v>2.5000000000000001E-2</v>
      </c>
      <c r="H3608" s="1">
        <v>2.5000000000000001E-2</v>
      </c>
      <c r="I3608" s="1">
        <v>2.5000000000000001E-2</v>
      </c>
      <c r="J3608" s="1">
        <v>0.30940000000000001</v>
      </c>
    </row>
    <row r="3609" spans="1:10" x14ac:dyDescent="0.2">
      <c r="A3609" t="str">
        <f>"02/02/2012"</f>
        <v>02/02/2012</v>
      </c>
      <c r="B3609">
        <v>3</v>
      </c>
      <c r="C3609">
        <v>45000</v>
      </c>
      <c r="D3609">
        <v>110883</v>
      </c>
      <c r="E3609">
        <v>45000</v>
      </c>
      <c r="F3609">
        <v>45000</v>
      </c>
      <c r="G3609" s="1">
        <v>2.5000000000000001E-2</v>
      </c>
      <c r="H3609" s="1">
        <v>2.5000000000000001E-2</v>
      </c>
      <c r="I3609" s="1">
        <v>2.5000000000000001E-2</v>
      </c>
      <c r="J3609" s="1">
        <v>0.33090000000000003</v>
      </c>
    </row>
    <row r="3610" spans="1:10" x14ac:dyDescent="0.2">
      <c r="A3610" t="str">
        <f>"01/02/2012"</f>
        <v>01/02/2012</v>
      </c>
      <c r="B3610">
        <v>1</v>
      </c>
      <c r="C3610">
        <v>45000</v>
      </c>
      <c r="D3610">
        <v>101384</v>
      </c>
      <c r="E3610">
        <v>45000</v>
      </c>
      <c r="F3610">
        <v>45000</v>
      </c>
      <c r="G3610" s="1">
        <v>2.5000000000000001E-2</v>
      </c>
      <c r="H3610" s="1">
        <v>2.5000000000000001E-2</v>
      </c>
      <c r="I3610" s="1">
        <v>2.5000000000000001E-2</v>
      </c>
      <c r="J3610" s="1">
        <v>0.35499999999999998</v>
      </c>
    </row>
    <row r="3611" spans="1:10" x14ac:dyDescent="0.2">
      <c r="A3611" t="str">
        <f>"31/01/2012"</f>
        <v>31/01/2012</v>
      </c>
      <c r="B3611">
        <v>1</v>
      </c>
      <c r="C3611">
        <v>31000</v>
      </c>
      <c r="D3611">
        <v>63510</v>
      </c>
      <c r="E3611">
        <v>31000</v>
      </c>
      <c r="F3611">
        <v>31000</v>
      </c>
      <c r="G3611" s="1">
        <v>2.5000000000000001E-2</v>
      </c>
      <c r="H3611" s="1">
        <v>2.5000000000000001E-2</v>
      </c>
      <c r="I3611" s="1">
        <v>2.5000000000000001E-2</v>
      </c>
      <c r="J3611" s="1">
        <v>0.40010000000000001</v>
      </c>
    </row>
    <row r="3612" spans="1:10" x14ac:dyDescent="0.2">
      <c r="A3612" t="str">
        <f>"30/01/2012"</f>
        <v>30/01/2012</v>
      </c>
      <c r="B3612">
        <v>1</v>
      </c>
      <c r="C3612">
        <v>30000</v>
      </c>
      <c r="D3612">
        <v>53512</v>
      </c>
      <c r="E3612">
        <v>30000</v>
      </c>
      <c r="F3612">
        <v>30000</v>
      </c>
      <c r="G3612" s="1">
        <v>2.5000000000000001E-2</v>
      </c>
      <c r="H3612" s="1">
        <v>2.5000000000000001E-2</v>
      </c>
      <c r="I3612" s="1">
        <v>2.5000000000000001E-2</v>
      </c>
      <c r="J3612" s="1">
        <v>0.4536</v>
      </c>
    </row>
    <row r="3613" spans="1:10" x14ac:dyDescent="0.2">
      <c r="A3613" t="str">
        <f>"29/01/2012"</f>
        <v>29/01/2012</v>
      </c>
      <c r="B3613">
        <v>1</v>
      </c>
      <c r="C3613">
        <v>30000</v>
      </c>
      <c r="D3613">
        <v>45666</v>
      </c>
      <c r="E3613">
        <v>30000</v>
      </c>
      <c r="F3613">
        <v>30000</v>
      </c>
      <c r="G3613" s="1">
        <v>2.5000000000000001E-2</v>
      </c>
      <c r="H3613" s="1">
        <v>2.5000000000000001E-2</v>
      </c>
      <c r="I3613" s="1">
        <v>2.5000000000000001E-2</v>
      </c>
      <c r="J3613" s="1">
        <v>0.5776</v>
      </c>
    </row>
    <row r="3614" spans="1:10" x14ac:dyDescent="0.2">
      <c r="A3614" t="str">
        <f>"26/01/2012"</f>
        <v>26/01/2012</v>
      </c>
      <c r="B3614">
        <v>3</v>
      </c>
      <c r="C3614">
        <v>27000</v>
      </c>
      <c r="D3614">
        <v>33128</v>
      </c>
      <c r="E3614">
        <v>27000</v>
      </c>
      <c r="F3614">
        <v>27000</v>
      </c>
      <c r="G3614" s="1">
        <v>2.5000000000000001E-2</v>
      </c>
      <c r="H3614" s="1">
        <v>2.5000000000000001E-2</v>
      </c>
      <c r="I3614" s="1">
        <v>2.5000000000000001E-2</v>
      </c>
      <c r="J3614" s="1">
        <v>0.76949999999999996</v>
      </c>
    </row>
    <row r="3615" spans="1:10" x14ac:dyDescent="0.2">
      <c r="A3615" t="str">
        <f>"25/01/2012"</f>
        <v>25/01/2012</v>
      </c>
      <c r="B3615">
        <v>1</v>
      </c>
      <c r="C3615">
        <v>21000</v>
      </c>
      <c r="D3615">
        <v>22282</v>
      </c>
      <c r="E3615">
        <v>21000</v>
      </c>
      <c r="F3615">
        <v>21000</v>
      </c>
      <c r="G3615" s="1">
        <v>2.75E-2</v>
      </c>
      <c r="H3615" s="1">
        <v>2.7400000000000001E-2</v>
      </c>
      <c r="I3615" s="1">
        <v>2.7400000000000001E-2</v>
      </c>
      <c r="J3615" s="1">
        <v>0.76690000000000003</v>
      </c>
    </row>
    <row r="3616" spans="1:10" x14ac:dyDescent="0.2">
      <c r="A3616" t="str">
        <f>"24/01/2012"</f>
        <v>24/01/2012</v>
      </c>
      <c r="B3616">
        <v>1</v>
      </c>
      <c r="C3616">
        <v>19000</v>
      </c>
      <c r="D3616">
        <v>16410</v>
      </c>
      <c r="E3616">
        <v>16410</v>
      </c>
      <c r="F3616">
        <v>16410</v>
      </c>
      <c r="G3616" s="1">
        <v>2.7400000000000001E-2</v>
      </c>
      <c r="H3616" s="1">
        <v>2.7400000000000001E-2</v>
      </c>
      <c r="I3616" s="1">
        <v>2.7400000000000001E-2</v>
      </c>
      <c r="J3616" s="1">
        <v>1</v>
      </c>
    </row>
    <row r="3617" spans="1:10" x14ac:dyDescent="0.2">
      <c r="A3617" t="str">
        <f>"23/01/2012"</f>
        <v>23/01/2012</v>
      </c>
      <c r="B3617">
        <v>1</v>
      </c>
      <c r="C3617">
        <v>21000</v>
      </c>
      <c r="D3617">
        <v>24216</v>
      </c>
      <c r="E3617">
        <v>21000</v>
      </c>
      <c r="F3617">
        <v>21000</v>
      </c>
      <c r="G3617" s="1">
        <v>2.75E-2</v>
      </c>
      <c r="H3617" s="1">
        <v>2.7400000000000001E-2</v>
      </c>
      <c r="I3617" s="1">
        <v>2.7400000000000001E-2</v>
      </c>
      <c r="J3617" s="1">
        <v>0.71560000000000001</v>
      </c>
    </row>
    <row r="3618" spans="1:10" x14ac:dyDescent="0.2">
      <c r="A3618" t="str">
        <f>"22/01/2012"</f>
        <v>22/01/2012</v>
      </c>
      <c r="B3618">
        <v>1</v>
      </c>
      <c r="C3618">
        <v>21000</v>
      </c>
      <c r="D3618">
        <v>41629</v>
      </c>
      <c r="E3618">
        <v>21000</v>
      </c>
      <c r="F3618">
        <v>21000</v>
      </c>
      <c r="G3618" s="1">
        <v>2.75E-2</v>
      </c>
      <c r="H3618" s="1">
        <v>2.7400000000000001E-2</v>
      </c>
      <c r="I3618" s="1">
        <v>2.7400000000000001E-2</v>
      </c>
      <c r="J3618" s="1">
        <v>0.25790000000000002</v>
      </c>
    </row>
    <row r="3619" spans="1:10" x14ac:dyDescent="0.2">
      <c r="A3619" t="str">
        <f>"19/01/2012"</f>
        <v>19/01/2012</v>
      </c>
      <c r="B3619">
        <v>3</v>
      </c>
      <c r="C3619">
        <v>23000</v>
      </c>
      <c r="D3619">
        <v>62918</v>
      </c>
      <c r="E3619">
        <v>23000</v>
      </c>
      <c r="F3619">
        <v>23000</v>
      </c>
      <c r="G3619" s="1">
        <v>2.75E-2</v>
      </c>
      <c r="H3619" s="1">
        <v>2.7400000000000001E-2</v>
      </c>
      <c r="I3619" s="1">
        <v>2.7400000000000001E-2</v>
      </c>
      <c r="J3619" s="1">
        <v>0.16489999999999999</v>
      </c>
    </row>
    <row r="3620" spans="1:10" x14ac:dyDescent="0.2">
      <c r="A3620" t="str">
        <f>"18/01/2012"</f>
        <v>18/01/2012</v>
      </c>
      <c r="B3620">
        <v>1</v>
      </c>
      <c r="C3620">
        <v>23000</v>
      </c>
      <c r="D3620">
        <v>66047</v>
      </c>
      <c r="E3620">
        <v>23000</v>
      </c>
      <c r="F3620">
        <v>23000</v>
      </c>
      <c r="G3620" s="1">
        <v>2.75E-2</v>
      </c>
      <c r="H3620" s="1">
        <v>2.7400000000000001E-2</v>
      </c>
      <c r="I3620" s="1">
        <v>2.7400000000000001E-2</v>
      </c>
      <c r="J3620" s="1">
        <v>8.4099999999999994E-2</v>
      </c>
    </row>
    <row r="3621" spans="1:10" x14ac:dyDescent="0.2">
      <c r="A3621" t="str">
        <f>"17/01/2012"</f>
        <v>17/01/2012</v>
      </c>
      <c r="B3621">
        <v>1</v>
      </c>
      <c r="C3621">
        <v>20000</v>
      </c>
      <c r="D3621">
        <v>61219</v>
      </c>
      <c r="E3621">
        <v>20000</v>
      </c>
      <c r="F3621">
        <v>20000</v>
      </c>
      <c r="G3621" s="1">
        <v>2.75E-2</v>
      </c>
      <c r="H3621" s="1">
        <v>2.7400000000000001E-2</v>
      </c>
      <c r="I3621" s="1">
        <v>2.7400000000000001E-2</v>
      </c>
      <c r="J3621" s="1">
        <v>8.2900000000000001E-2</v>
      </c>
    </row>
    <row r="3622" spans="1:10" x14ac:dyDescent="0.2">
      <c r="A3622" t="str">
        <f>"16/01/2012"</f>
        <v>16/01/2012</v>
      </c>
      <c r="B3622">
        <v>1</v>
      </c>
      <c r="C3622">
        <v>24000</v>
      </c>
      <c r="D3622">
        <v>69065</v>
      </c>
      <c r="E3622">
        <v>24000</v>
      </c>
      <c r="F3622">
        <v>24000</v>
      </c>
      <c r="G3622" s="1">
        <v>2.75E-2</v>
      </c>
      <c r="H3622" s="1">
        <v>2.7400000000000001E-2</v>
      </c>
      <c r="I3622" s="1">
        <v>2.7400000000000001E-2</v>
      </c>
      <c r="J3622" s="1">
        <v>0.19139999999999999</v>
      </c>
    </row>
    <row r="3623" spans="1:10" x14ac:dyDescent="0.2">
      <c r="A3623" t="str">
        <f>"15/01/2012"</f>
        <v>15/01/2012</v>
      </c>
      <c r="B3623">
        <v>1</v>
      </c>
      <c r="C3623">
        <v>37000</v>
      </c>
      <c r="D3623">
        <v>107679</v>
      </c>
      <c r="E3623">
        <v>37000</v>
      </c>
      <c r="F3623">
        <v>37000</v>
      </c>
      <c r="G3623" s="1">
        <v>2.75E-2</v>
      </c>
      <c r="H3623" s="1">
        <v>2.75E-2</v>
      </c>
      <c r="I3623" s="1">
        <v>2.75E-2</v>
      </c>
      <c r="J3623" s="1">
        <v>0.247</v>
      </c>
    </row>
    <row r="3624" spans="1:10" x14ac:dyDescent="0.2">
      <c r="A3624" t="str">
        <f>"12/01/2012"</f>
        <v>12/01/2012</v>
      </c>
      <c r="B3624">
        <v>3</v>
      </c>
      <c r="C3624">
        <v>42000</v>
      </c>
      <c r="D3624">
        <v>107244</v>
      </c>
      <c r="E3624">
        <v>42000</v>
      </c>
      <c r="F3624">
        <v>42000</v>
      </c>
      <c r="G3624" s="1">
        <v>2.75E-2</v>
      </c>
      <c r="H3624" s="1">
        <v>2.75E-2</v>
      </c>
      <c r="I3624" s="1">
        <v>2.75E-2</v>
      </c>
      <c r="J3624" s="1">
        <v>0.28970000000000001</v>
      </c>
    </row>
    <row r="3625" spans="1:10" x14ac:dyDescent="0.2">
      <c r="A3625" t="str">
        <f>"11/01/2012"</f>
        <v>11/01/2012</v>
      </c>
      <c r="B3625">
        <v>1</v>
      </c>
      <c r="C3625">
        <v>43000</v>
      </c>
      <c r="D3625">
        <v>117113</v>
      </c>
      <c r="E3625">
        <v>43000</v>
      </c>
      <c r="F3625">
        <v>43000</v>
      </c>
      <c r="G3625" s="1">
        <v>2.75E-2</v>
      </c>
      <c r="H3625" s="1">
        <v>2.75E-2</v>
      </c>
      <c r="I3625" s="1">
        <v>2.75E-2</v>
      </c>
      <c r="J3625" s="1">
        <v>0.24460000000000001</v>
      </c>
    </row>
    <row r="3626" spans="1:10" x14ac:dyDescent="0.2">
      <c r="A3626" t="str">
        <f>"10/01/2012"</f>
        <v>10/01/2012</v>
      </c>
      <c r="B3626">
        <v>1</v>
      </c>
      <c r="C3626">
        <v>43000</v>
      </c>
      <c r="D3626">
        <v>121266</v>
      </c>
      <c r="E3626">
        <v>43000</v>
      </c>
      <c r="F3626">
        <v>43000</v>
      </c>
      <c r="G3626" s="1">
        <v>2.75E-2</v>
      </c>
      <c r="H3626" s="1">
        <v>2.75E-2</v>
      </c>
      <c r="I3626" s="1">
        <v>2.75E-2</v>
      </c>
      <c r="J3626" s="1">
        <v>0.25690000000000002</v>
      </c>
    </row>
    <row r="3627" spans="1:10" x14ac:dyDescent="0.2">
      <c r="A3627" t="str">
        <f>"09/01/2012"</f>
        <v>09/01/2012</v>
      </c>
      <c r="B3627">
        <v>1</v>
      </c>
      <c r="C3627">
        <v>44000</v>
      </c>
      <c r="D3627">
        <v>125016</v>
      </c>
      <c r="E3627">
        <v>44000</v>
      </c>
      <c r="F3627">
        <v>44000</v>
      </c>
      <c r="G3627" s="1">
        <v>2.75E-2</v>
      </c>
      <c r="H3627" s="1">
        <v>2.75E-2</v>
      </c>
      <c r="I3627" s="1">
        <v>2.75E-2</v>
      </c>
      <c r="J3627" s="1">
        <v>0.26519999999999999</v>
      </c>
    </row>
    <row r="3628" spans="1:10" x14ac:dyDescent="0.2">
      <c r="A3628" t="str">
        <f>"08/01/2012"</f>
        <v>08/01/2012</v>
      </c>
      <c r="B3628">
        <v>1</v>
      </c>
      <c r="C3628">
        <v>45000</v>
      </c>
      <c r="D3628">
        <v>120241</v>
      </c>
      <c r="E3628">
        <v>45000</v>
      </c>
      <c r="F3628">
        <v>45000</v>
      </c>
      <c r="G3628" s="1">
        <v>2.75E-2</v>
      </c>
      <c r="H3628" s="1">
        <v>2.75E-2</v>
      </c>
      <c r="I3628" s="1">
        <v>2.75E-2</v>
      </c>
      <c r="J3628" s="1">
        <v>0.29120000000000001</v>
      </c>
    </row>
    <row r="3629" spans="1:10" x14ac:dyDescent="0.2">
      <c r="A3629" t="str">
        <f>"05/01/2012"</f>
        <v>05/01/2012</v>
      </c>
      <c r="B3629">
        <v>3</v>
      </c>
      <c r="C3629">
        <v>45000</v>
      </c>
      <c r="D3629">
        <v>102762</v>
      </c>
      <c r="E3629">
        <v>45000</v>
      </c>
      <c r="F3629">
        <v>45000</v>
      </c>
      <c r="G3629" s="1">
        <v>2.75E-2</v>
      </c>
      <c r="H3629" s="1">
        <v>2.75E-2</v>
      </c>
      <c r="I3629" s="1">
        <v>2.75E-2</v>
      </c>
      <c r="J3629" s="1">
        <v>0.33050000000000002</v>
      </c>
    </row>
    <row r="3630" spans="1:10" x14ac:dyDescent="0.2">
      <c r="A3630" t="str">
        <f>"04/01/2012"</f>
        <v>04/01/2012</v>
      </c>
      <c r="B3630">
        <v>1</v>
      </c>
      <c r="C3630">
        <v>45000</v>
      </c>
      <c r="D3630">
        <v>104534</v>
      </c>
      <c r="E3630">
        <v>45000</v>
      </c>
      <c r="F3630">
        <v>45000</v>
      </c>
      <c r="G3630" s="1">
        <v>2.75E-2</v>
      </c>
      <c r="H3630" s="1">
        <v>2.75E-2</v>
      </c>
      <c r="I3630" s="1">
        <v>2.75E-2</v>
      </c>
      <c r="J3630" s="1">
        <v>0.33900000000000002</v>
      </c>
    </row>
    <row r="3631" spans="1:10" x14ac:dyDescent="0.2">
      <c r="A3631" t="str">
        <f>"03/01/2012"</f>
        <v>03/01/2012</v>
      </c>
      <c r="B3631">
        <v>1</v>
      </c>
      <c r="C3631">
        <v>45000</v>
      </c>
      <c r="D3631">
        <v>89577</v>
      </c>
      <c r="E3631">
        <v>45000</v>
      </c>
      <c r="F3631">
        <v>45000</v>
      </c>
      <c r="G3631" s="1">
        <v>2.75E-2</v>
      </c>
      <c r="H3631" s="1">
        <v>2.75E-2</v>
      </c>
      <c r="I3631" s="1">
        <v>2.75E-2</v>
      </c>
      <c r="J3631" s="1">
        <v>0.41970000000000002</v>
      </c>
    </row>
    <row r="3632" spans="1:10" x14ac:dyDescent="0.2">
      <c r="A3632" t="str">
        <f>"02/01/2012"</f>
        <v>02/01/2012</v>
      </c>
      <c r="B3632">
        <v>1</v>
      </c>
      <c r="C3632">
        <v>45000</v>
      </c>
      <c r="D3632">
        <v>73246</v>
      </c>
      <c r="E3632">
        <v>45000</v>
      </c>
      <c r="F3632">
        <v>45000</v>
      </c>
      <c r="G3632" s="1">
        <v>2.75E-2</v>
      </c>
      <c r="H3632" s="1">
        <v>2.75E-2</v>
      </c>
      <c r="I3632" s="1">
        <v>2.75E-2</v>
      </c>
      <c r="J3632" s="1">
        <v>0.5423</v>
      </c>
    </row>
    <row r="3633" spans="1:10" x14ac:dyDescent="0.2">
      <c r="A3633" t="str">
        <f>"01/01/2012"</f>
        <v>01/01/2012</v>
      </c>
      <c r="B3633">
        <v>1</v>
      </c>
      <c r="C3633">
        <v>45000</v>
      </c>
      <c r="D3633">
        <v>61640</v>
      </c>
      <c r="E3633">
        <v>45000</v>
      </c>
      <c r="F3633">
        <v>45000</v>
      </c>
      <c r="G3633" s="1">
        <v>2.75E-2</v>
      </c>
      <c r="H3633" s="1">
        <v>2.75E-2</v>
      </c>
      <c r="I3633" s="1">
        <v>2.75E-2</v>
      </c>
      <c r="J3633" s="1">
        <v>0.68200000000000005</v>
      </c>
    </row>
    <row r="3634" spans="1:10" x14ac:dyDescent="0.2">
      <c r="A3634" t="str">
        <f>"30/12/2011"</f>
        <v>30/12/2011</v>
      </c>
      <c r="B3634">
        <v>2</v>
      </c>
      <c r="C3634">
        <v>9000</v>
      </c>
      <c r="D3634">
        <v>4000</v>
      </c>
      <c r="E3634">
        <v>4000</v>
      </c>
      <c r="F3634">
        <v>4000</v>
      </c>
      <c r="G3634" s="1">
        <v>2.75E-2</v>
      </c>
      <c r="H3634" s="1">
        <v>2.75E-2</v>
      </c>
      <c r="I3634" s="1">
        <v>2.75E-2</v>
      </c>
      <c r="J3634" s="1">
        <v>1</v>
      </c>
    </row>
    <row r="3635" spans="1:10" x14ac:dyDescent="0.2">
      <c r="A3635" t="str">
        <f>"29/12/2011"</f>
        <v>29/12/2011</v>
      </c>
      <c r="B3635">
        <v>3</v>
      </c>
      <c r="C3635">
        <v>32000</v>
      </c>
      <c r="D3635">
        <v>33560</v>
      </c>
      <c r="E3635">
        <v>32000</v>
      </c>
      <c r="F3635">
        <v>32000</v>
      </c>
      <c r="G3635" s="1">
        <v>2.75E-2</v>
      </c>
      <c r="H3635" s="1">
        <v>2.75E-2</v>
      </c>
      <c r="I3635" s="1">
        <v>2.75E-2</v>
      </c>
      <c r="J3635" s="1">
        <v>0.92349999999999999</v>
      </c>
    </row>
    <row r="3636" spans="1:10" x14ac:dyDescent="0.2">
      <c r="A3636" t="str">
        <f>"28/12/2011"</f>
        <v>28/12/2011</v>
      </c>
      <c r="B3636">
        <v>1</v>
      </c>
      <c r="C3636">
        <v>27000</v>
      </c>
      <c r="D3636">
        <v>22217</v>
      </c>
      <c r="E3636">
        <v>22217</v>
      </c>
      <c r="F3636">
        <v>22217</v>
      </c>
      <c r="G3636" s="1">
        <v>2.75E-2</v>
      </c>
      <c r="H3636" s="1">
        <v>2.7400000000000001E-2</v>
      </c>
      <c r="I3636" s="1">
        <v>2.7400000000000001E-2</v>
      </c>
      <c r="J3636" s="1">
        <v>1</v>
      </c>
    </row>
    <row r="3637" spans="1:10" x14ac:dyDescent="0.2">
      <c r="A3637" t="str">
        <f>"27/12/2011"</f>
        <v>27/12/2011</v>
      </c>
      <c r="B3637">
        <v>1</v>
      </c>
      <c r="C3637">
        <v>22000</v>
      </c>
      <c r="D3637">
        <v>34554</v>
      </c>
      <c r="E3637">
        <v>22000</v>
      </c>
      <c r="F3637">
        <v>22000</v>
      </c>
      <c r="G3637" s="1">
        <v>2.75E-2</v>
      </c>
      <c r="H3637" s="1">
        <v>2.75E-2</v>
      </c>
      <c r="I3637" s="1">
        <v>2.75E-2</v>
      </c>
      <c r="J3637" s="1">
        <v>0.50770000000000004</v>
      </c>
    </row>
    <row r="3638" spans="1:10" x14ac:dyDescent="0.2">
      <c r="A3638" t="str">
        <f>"26/12/2011"</f>
        <v>26/12/2011</v>
      </c>
      <c r="B3638">
        <v>1</v>
      </c>
      <c r="C3638">
        <v>21000</v>
      </c>
      <c r="D3638">
        <v>34540</v>
      </c>
      <c r="E3638">
        <v>21000</v>
      </c>
      <c r="F3638">
        <v>21000</v>
      </c>
      <c r="G3638" s="1">
        <v>2.75E-2</v>
      </c>
      <c r="H3638" s="1">
        <v>2.7400000000000001E-2</v>
      </c>
      <c r="I3638" s="1">
        <v>2.7400000000000001E-2</v>
      </c>
      <c r="J3638" s="1">
        <v>0.43109999999999998</v>
      </c>
    </row>
    <row r="3639" spans="1:10" x14ac:dyDescent="0.2">
      <c r="A3639" t="str">
        <f>"25/12/2011"</f>
        <v>25/12/2011</v>
      </c>
      <c r="B3639">
        <v>1</v>
      </c>
      <c r="C3639">
        <v>19000</v>
      </c>
      <c r="D3639">
        <v>31095</v>
      </c>
      <c r="E3639">
        <v>19000</v>
      </c>
      <c r="F3639">
        <v>19000</v>
      </c>
      <c r="G3639" s="1">
        <v>2.75E-2</v>
      </c>
      <c r="H3639" s="1">
        <v>2.7400000000000001E-2</v>
      </c>
      <c r="I3639" s="1">
        <v>2.7400000000000001E-2</v>
      </c>
      <c r="J3639" s="1">
        <v>0.3634</v>
      </c>
    </row>
    <row r="3640" spans="1:10" x14ac:dyDescent="0.2">
      <c r="A3640" t="str">
        <f>"22/12/2011"</f>
        <v>22/12/2011</v>
      </c>
      <c r="B3640">
        <v>3</v>
      </c>
      <c r="C3640">
        <v>18000</v>
      </c>
      <c r="D3640">
        <v>32521</v>
      </c>
      <c r="E3640">
        <v>18000</v>
      </c>
      <c r="F3640">
        <v>18000</v>
      </c>
      <c r="G3640" s="1">
        <v>2.75E-2</v>
      </c>
      <c r="H3640" s="1">
        <v>2.7400000000000001E-2</v>
      </c>
      <c r="I3640" s="1">
        <v>2.7400000000000001E-2</v>
      </c>
      <c r="J3640" s="1">
        <v>1.89E-2</v>
      </c>
    </row>
    <row r="3641" spans="1:10" x14ac:dyDescent="0.2">
      <c r="A3641" t="str">
        <f>"21/12/2011"</f>
        <v>21/12/2011</v>
      </c>
      <c r="B3641">
        <v>1</v>
      </c>
      <c r="C3641">
        <v>16000</v>
      </c>
      <c r="D3641">
        <v>31422</v>
      </c>
      <c r="E3641">
        <v>16000</v>
      </c>
      <c r="F3641">
        <v>16000</v>
      </c>
      <c r="G3641" s="1">
        <v>2.75E-2</v>
      </c>
      <c r="H3641" s="1">
        <v>2.7400000000000001E-2</v>
      </c>
      <c r="I3641" s="1">
        <v>2.7400000000000001E-2</v>
      </c>
      <c r="J3641" s="1">
        <v>0.12379999999999999</v>
      </c>
    </row>
    <row r="3642" spans="1:10" x14ac:dyDescent="0.2">
      <c r="A3642" t="str">
        <f>"20/12/2011"</f>
        <v>20/12/2011</v>
      </c>
      <c r="B3642">
        <v>1</v>
      </c>
      <c r="C3642">
        <v>17000</v>
      </c>
      <c r="D3642">
        <v>53890</v>
      </c>
      <c r="E3642">
        <v>17000</v>
      </c>
      <c r="F3642">
        <v>17000</v>
      </c>
      <c r="G3642" s="1">
        <v>2.75E-2</v>
      </c>
      <c r="H3642" s="1">
        <v>2.7400000000000001E-2</v>
      </c>
      <c r="I3642" s="1">
        <v>2.7400000000000001E-2</v>
      </c>
      <c r="J3642" s="1">
        <v>9.06E-2</v>
      </c>
    </row>
    <row r="3643" spans="1:10" x14ac:dyDescent="0.2">
      <c r="A3643" t="str">
        <f>"19/12/2011"</f>
        <v>19/12/2011</v>
      </c>
      <c r="B3643">
        <v>1</v>
      </c>
      <c r="C3643">
        <v>20000</v>
      </c>
      <c r="D3643">
        <v>64715</v>
      </c>
      <c r="E3643">
        <v>20000</v>
      </c>
      <c r="F3643">
        <v>20000</v>
      </c>
      <c r="G3643" s="1">
        <v>2.75E-2</v>
      </c>
      <c r="H3643" s="1">
        <v>2.7400000000000001E-2</v>
      </c>
      <c r="I3643" s="1">
        <v>2.7400000000000001E-2</v>
      </c>
      <c r="J3643" s="1">
        <v>0.13739999999999999</v>
      </c>
    </row>
    <row r="3644" spans="1:10" x14ac:dyDescent="0.2">
      <c r="A3644" t="str">
        <f>"18/12/2011"</f>
        <v>18/12/2011</v>
      </c>
      <c r="B3644">
        <v>1</v>
      </c>
      <c r="C3644">
        <v>20000</v>
      </c>
      <c r="D3644">
        <v>61529</v>
      </c>
      <c r="E3644">
        <v>20000</v>
      </c>
      <c r="F3644">
        <v>20000</v>
      </c>
      <c r="G3644" s="1">
        <v>2.75E-2</v>
      </c>
      <c r="H3644" s="1">
        <v>2.7400000000000001E-2</v>
      </c>
      <c r="I3644" s="1">
        <v>2.7400000000000001E-2</v>
      </c>
      <c r="J3644" s="1">
        <v>0.18099999999999999</v>
      </c>
    </row>
    <row r="3645" spans="1:10" x14ac:dyDescent="0.2">
      <c r="A3645" t="str">
        <f>"15/12/2011"</f>
        <v>15/12/2011</v>
      </c>
      <c r="B3645">
        <v>3</v>
      </c>
      <c r="C3645">
        <v>21000</v>
      </c>
      <c r="D3645">
        <v>56659</v>
      </c>
      <c r="E3645">
        <v>21000</v>
      </c>
      <c r="F3645">
        <v>21000</v>
      </c>
      <c r="G3645" s="1">
        <v>2.75E-2</v>
      </c>
      <c r="H3645" s="1">
        <v>2.75E-2</v>
      </c>
      <c r="I3645" s="1">
        <v>2.75E-2</v>
      </c>
      <c r="J3645" s="1">
        <v>0.2374</v>
      </c>
    </row>
    <row r="3646" spans="1:10" x14ac:dyDescent="0.2">
      <c r="A3646" t="str">
        <f>"15/12/2011"</f>
        <v>15/12/2011</v>
      </c>
      <c r="B3646">
        <v>1</v>
      </c>
      <c r="C3646">
        <v>12000</v>
      </c>
      <c r="D3646">
        <v>24750</v>
      </c>
      <c r="E3646">
        <v>12000</v>
      </c>
      <c r="F3646">
        <v>12000</v>
      </c>
      <c r="G3646" s="1">
        <v>2.75E-2</v>
      </c>
      <c r="H3646" s="1">
        <v>2.75E-2</v>
      </c>
      <c r="I3646" s="1">
        <v>2.75E-2</v>
      </c>
      <c r="J3646" s="1">
        <v>0.378</v>
      </c>
    </row>
    <row r="3647" spans="1:10" x14ac:dyDescent="0.2">
      <c r="A3647" t="str">
        <f>"14/12/2011"</f>
        <v>14/12/2011</v>
      </c>
      <c r="B3647">
        <v>1</v>
      </c>
      <c r="C3647">
        <v>33000</v>
      </c>
      <c r="D3647">
        <v>86338</v>
      </c>
      <c r="E3647">
        <v>33000</v>
      </c>
      <c r="F3647">
        <v>33000</v>
      </c>
      <c r="G3647" s="1">
        <v>2.75E-2</v>
      </c>
      <c r="H3647" s="1">
        <v>2.75E-2</v>
      </c>
      <c r="I3647" s="1">
        <v>2.75E-2</v>
      </c>
      <c r="J3647" s="1">
        <v>0.31590000000000001</v>
      </c>
    </row>
    <row r="3648" spans="1:10" x14ac:dyDescent="0.2">
      <c r="A3648" t="str">
        <f>"13/12/2011"</f>
        <v>13/12/2011</v>
      </c>
      <c r="B3648">
        <v>1</v>
      </c>
      <c r="C3648">
        <v>33000</v>
      </c>
      <c r="D3648">
        <v>78275</v>
      </c>
      <c r="E3648">
        <v>33000</v>
      </c>
      <c r="F3648">
        <v>33000</v>
      </c>
      <c r="G3648" s="1">
        <v>2.75E-2</v>
      </c>
      <c r="H3648" s="1">
        <v>2.75E-2</v>
      </c>
      <c r="I3648" s="1">
        <v>2.75E-2</v>
      </c>
      <c r="J3648" s="1">
        <v>0.32879999999999998</v>
      </c>
    </row>
    <row r="3649" spans="1:10" x14ac:dyDescent="0.2">
      <c r="A3649" t="str">
        <f>"12/12/2011"</f>
        <v>12/12/2011</v>
      </c>
      <c r="B3649">
        <v>1</v>
      </c>
      <c r="C3649">
        <v>35000</v>
      </c>
      <c r="D3649">
        <v>78253</v>
      </c>
      <c r="E3649">
        <v>35000</v>
      </c>
      <c r="F3649">
        <v>35000</v>
      </c>
      <c r="G3649" s="1">
        <v>2.75E-2</v>
      </c>
      <c r="H3649" s="1">
        <v>2.75E-2</v>
      </c>
      <c r="I3649" s="1">
        <v>2.75E-2</v>
      </c>
      <c r="J3649" s="1">
        <v>0.35659999999999997</v>
      </c>
    </row>
    <row r="3650" spans="1:10" x14ac:dyDescent="0.2">
      <c r="A3650" t="str">
        <f>"11/12/2011"</f>
        <v>11/12/2011</v>
      </c>
      <c r="B3650">
        <v>1</v>
      </c>
      <c r="C3650">
        <v>35000</v>
      </c>
      <c r="D3650">
        <v>73221</v>
      </c>
      <c r="E3650">
        <v>35000</v>
      </c>
      <c r="F3650">
        <v>35000</v>
      </c>
      <c r="G3650" s="1">
        <v>2.75E-2</v>
      </c>
      <c r="H3650" s="1">
        <v>2.75E-2</v>
      </c>
      <c r="I3650" s="1">
        <v>2.75E-2</v>
      </c>
      <c r="J3650" s="1">
        <v>0.39439999999999997</v>
      </c>
    </row>
    <row r="3651" spans="1:10" x14ac:dyDescent="0.2">
      <c r="A3651" t="str">
        <f>"08/12/2011"</f>
        <v>08/12/2011</v>
      </c>
      <c r="B3651">
        <v>3</v>
      </c>
      <c r="C3651">
        <v>35000</v>
      </c>
      <c r="D3651">
        <v>73737</v>
      </c>
      <c r="E3651">
        <v>35000</v>
      </c>
      <c r="F3651">
        <v>35000</v>
      </c>
      <c r="G3651" s="1">
        <v>2.75E-2</v>
      </c>
      <c r="H3651" s="1">
        <v>2.75E-2</v>
      </c>
      <c r="I3651" s="1">
        <v>2.75E-2</v>
      </c>
      <c r="J3651" s="1">
        <v>0.37580000000000002</v>
      </c>
    </row>
    <row r="3652" spans="1:10" x14ac:dyDescent="0.2">
      <c r="A3652" t="str">
        <f>"07/12/2011"</f>
        <v>07/12/2011</v>
      </c>
      <c r="B3652">
        <v>1</v>
      </c>
      <c r="C3652">
        <v>34000</v>
      </c>
      <c r="D3652">
        <v>73762</v>
      </c>
      <c r="E3652">
        <v>34000</v>
      </c>
      <c r="F3652">
        <v>34000</v>
      </c>
      <c r="G3652" s="1">
        <v>2.75E-2</v>
      </c>
      <c r="H3652" s="1">
        <v>2.75E-2</v>
      </c>
      <c r="I3652" s="1">
        <v>2.75E-2</v>
      </c>
      <c r="J3652" s="1">
        <v>0.36370000000000002</v>
      </c>
    </row>
    <row r="3653" spans="1:10" x14ac:dyDescent="0.2">
      <c r="A3653" t="str">
        <f>"06/12/2011"</f>
        <v>06/12/2011</v>
      </c>
      <c r="B3653">
        <v>1</v>
      </c>
      <c r="C3653">
        <v>35000</v>
      </c>
      <c r="D3653">
        <v>70915</v>
      </c>
      <c r="E3653">
        <v>35000</v>
      </c>
      <c r="F3653">
        <v>35000</v>
      </c>
      <c r="G3653" s="1">
        <v>2.75E-2</v>
      </c>
      <c r="H3653" s="1">
        <v>2.75E-2</v>
      </c>
      <c r="I3653" s="1">
        <v>2.75E-2</v>
      </c>
      <c r="J3653" s="1">
        <v>0.40100000000000002</v>
      </c>
    </row>
    <row r="3654" spans="1:10" x14ac:dyDescent="0.2">
      <c r="A3654" t="str">
        <f>"05/12/2011"</f>
        <v>05/12/2011</v>
      </c>
      <c r="B3654">
        <v>1</v>
      </c>
      <c r="C3654">
        <v>36000</v>
      </c>
      <c r="D3654">
        <v>63333</v>
      </c>
      <c r="E3654">
        <v>36000</v>
      </c>
      <c r="F3654">
        <v>36000</v>
      </c>
      <c r="G3654" s="1">
        <v>2.75E-2</v>
      </c>
      <c r="H3654" s="1">
        <v>2.75E-2</v>
      </c>
      <c r="I3654" s="1">
        <v>2.75E-2</v>
      </c>
      <c r="J3654" s="1">
        <v>0.49359999999999998</v>
      </c>
    </row>
    <row r="3655" spans="1:10" x14ac:dyDescent="0.2">
      <c r="A3655" t="str">
        <f>"04/12/2011"</f>
        <v>04/12/2011</v>
      </c>
      <c r="B3655">
        <v>1</v>
      </c>
      <c r="C3655">
        <v>35000</v>
      </c>
      <c r="D3655">
        <v>52483</v>
      </c>
      <c r="E3655">
        <v>35000</v>
      </c>
      <c r="F3655">
        <v>35000</v>
      </c>
      <c r="G3655" s="1">
        <v>2.75E-2</v>
      </c>
      <c r="H3655" s="1">
        <v>2.75E-2</v>
      </c>
      <c r="I3655" s="1">
        <v>2.75E-2</v>
      </c>
      <c r="J3655" s="1">
        <v>0.63500000000000001</v>
      </c>
    </row>
    <row r="3656" spans="1:10" x14ac:dyDescent="0.2">
      <c r="A3656" t="str">
        <f>"01/12/2011"</f>
        <v>01/12/2011</v>
      </c>
      <c r="B3656">
        <v>3</v>
      </c>
      <c r="C3656">
        <v>35000</v>
      </c>
      <c r="D3656">
        <v>39955</v>
      </c>
      <c r="E3656">
        <v>35000</v>
      </c>
      <c r="F3656">
        <v>35000</v>
      </c>
      <c r="G3656" s="1">
        <v>2.75E-2</v>
      </c>
      <c r="H3656" s="1">
        <v>2.75E-2</v>
      </c>
      <c r="I3656" s="1">
        <v>2.75E-2</v>
      </c>
      <c r="J3656" s="1">
        <v>0.85829999999999995</v>
      </c>
    </row>
    <row r="3657" spans="1:10" x14ac:dyDescent="0.2">
      <c r="A3657" t="str">
        <f>"30/11/2011"</f>
        <v>30/11/2011</v>
      </c>
      <c r="B3657">
        <v>1</v>
      </c>
      <c r="C3657">
        <v>22000</v>
      </c>
      <c r="D3657">
        <v>22214</v>
      </c>
      <c r="E3657">
        <v>22000</v>
      </c>
      <c r="F3657">
        <v>22000</v>
      </c>
      <c r="G3657" s="1">
        <v>0.03</v>
      </c>
      <c r="H3657" s="1">
        <v>2.9899999999999999E-2</v>
      </c>
      <c r="I3657" s="1">
        <v>2.9899999999999999E-2</v>
      </c>
      <c r="J3657" s="1">
        <v>0.97860000000000003</v>
      </c>
    </row>
    <row r="3658" spans="1:10" x14ac:dyDescent="0.2">
      <c r="A3658" t="str">
        <f>"29/11/2011"</f>
        <v>29/11/2011</v>
      </c>
      <c r="B3658">
        <v>1</v>
      </c>
      <c r="C3658">
        <v>22000</v>
      </c>
      <c r="D3658">
        <v>28712</v>
      </c>
      <c r="E3658">
        <v>22000</v>
      </c>
      <c r="F3658">
        <v>22000</v>
      </c>
      <c r="G3658" s="1">
        <v>0.03</v>
      </c>
      <c r="H3658" s="1">
        <v>2.9899999999999999E-2</v>
      </c>
      <c r="I3658" s="1">
        <v>2.9899999999999999E-2</v>
      </c>
      <c r="J3658" s="1">
        <v>0.58309999999999995</v>
      </c>
    </row>
    <row r="3659" spans="1:10" x14ac:dyDescent="0.2">
      <c r="A3659" t="str">
        <f>"28/11/2011"</f>
        <v>28/11/2011</v>
      </c>
      <c r="B3659">
        <v>1</v>
      </c>
      <c r="C3659">
        <v>24000</v>
      </c>
      <c r="D3659">
        <v>37892</v>
      </c>
      <c r="E3659">
        <v>24000</v>
      </c>
      <c r="F3659">
        <v>24000</v>
      </c>
      <c r="G3659" s="1">
        <v>0.03</v>
      </c>
      <c r="H3659" s="1">
        <v>2.9899999999999999E-2</v>
      </c>
      <c r="I3659" s="1">
        <v>2.9899999999999999E-2</v>
      </c>
      <c r="J3659" s="1">
        <v>0.38779999999999998</v>
      </c>
    </row>
    <row r="3660" spans="1:10" x14ac:dyDescent="0.2">
      <c r="A3660" t="str">
        <f>"27/11/2011"</f>
        <v>27/11/2011</v>
      </c>
      <c r="B3660">
        <v>1</v>
      </c>
      <c r="C3660">
        <v>23000</v>
      </c>
      <c r="D3660">
        <v>50619</v>
      </c>
      <c r="E3660">
        <v>23000</v>
      </c>
      <c r="F3660">
        <v>23000</v>
      </c>
      <c r="G3660" s="1">
        <v>0.03</v>
      </c>
      <c r="H3660" s="1">
        <v>2.9899999999999999E-2</v>
      </c>
      <c r="I3660" s="1">
        <v>2.9899999999999999E-2</v>
      </c>
      <c r="J3660" s="1">
        <v>0.23130000000000001</v>
      </c>
    </row>
    <row r="3661" spans="1:10" x14ac:dyDescent="0.2">
      <c r="A3661" t="str">
        <f>"24/11/2011"</f>
        <v>24/11/2011</v>
      </c>
      <c r="B3661">
        <v>3</v>
      </c>
      <c r="C3661">
        <v>22000</v>
      </c>
      <c r="D3661">
        <v>75104</v>
      </c>
      <c r="E3661">
        <v>22000</v>
      </c>
      <c r="F3661">
        <v>22000</v>
      </c>
      <c r="G3661" s="1">
        <v>0.03</v>
      </c>
      <c r="H3661" s="1">
        <v>2.9899999999999999E-2</v>
      </c>
      <c r="I3661" s="1">
        <v>2.9899999999999999E-2</v>
      </c>
      <c r="J3661" s="1">
        <v>0.13159999999999999</v>
      </c>
    </row>
    <row r="3662" spans="1:10" x14ac:dyDescent="0.2">
      <c r="A3662" t="str">
        <f>"23/11/2011"</f>
        <v>23/11/2011</v>
      </c>
      <c r="B3662">
        <v>1</v>
      </c>
      <c r="C3662">
        <v>22000</v>
      </c>
      <c r="D3662">
        <v>81974</v>
      </c>
      <c r="E3662">
        <v>22000</v>
      </c>
      <c r="F3662">
        <v>22000</v>
      </c>
      <c r="G3662" s="1">
        <v>0.03</v>
      </c>
      <c r="H3662" s="1">
        <v>2.9899999999999999E-2</v>
      </c>
      <c r="I3662" s="1">
        <v>2.9899999999999999E-2</v>
      </c>
      <c r="J3662" s="1">
        <v>0.1338</v>
      </c>
    </row>
    <row r="3663" spans="1:10" x14ac:dyDescent="0.2">
      <c r="A3663" t="str">
        <f>"22/11/2011"</f>
        <v>22/11/2011</v>
      </c>
      <c r="B3663">
        <v>1</v>
      </c>
      <c r="C3663">
        <v>22000</v>
      </c>
      <c r="D3663">
        <v>78235</v>
      </c>
      <c r="E3663">
        <v>22000</v>
      </c>
      <c r="F3663">
        <v>22000</v>
      </c>
      <c r="G3663" s="1">
        <v>0.03</v>
      </c>
      <c r="H3663" s="1">
        <v>0.03</v>
      </c>
      <c r="I3663" s="1">
        <v>0.03</v>
      </c>
      <c r="J3663" s="1">
        <v>0.16450000000000001</v>
      </c>
    </row>
    <row r="3664" spans="1:10" x14ac:dyDescent="0.2">
      <c r="A3664" t="str">
        <f>"21/11/2011"</f>
        <v>21/11/2011</v>
      </c>
      <c r="B3664">
        <v>1</v>
      </c>
      <c r="C3664">
        <v>23000</v>
      </c>
      <c r="D3664">
        <v>80566</v>
      </c>
      <c r="E3664">
        <v>23000</v>
      </c>
      <c r="F3664">
        <v>23000</v>
      </c>
      <c r="G3664" s="1">
        <v>0.03</v>
      </c>
      <c r="H3664" s="1">
        <v>0.03</v>
      </c>
      <c r="I3664" s="1">
        <v>0.03</v>
      </c>
      <c r="J3664" s="1">
        <v>0.18090000000000001</v>
      </c>
    </row>
    <row r="3665" spans="1:10" x14ac:dyDescent="0.2">
      <c r="A3665" t="str">
        <f>"20/11/2011"</f>
        <v>20/11/2011</v>
      </c>
      <c r="B3665">
        <v>1</v>
      </c>
      <c r="C3665">
        <v>24000</v>
      </c>
      <c r="D3665">
        <v>83272</v>
      </c>
      <c r="E3665">
        <v>24000</v>
      </c>
      <c r="F3665">
        <v>24000</v>
      </c>
      <c r="G3665" s="1">
        <v>0.03</v>
      </c>
      <c r="H3665" s="1">
        <v>2.9899999999999999E-2</v>
      </c>
      <c r="I3665" s="1">
        <v>2.9899999999999999E-2</v>
      </c>
      <c r="J3665" s="1">
        <v>0.17249999999999999</v>
      </c>
    </row>
    <row r="3666" spans="1:10" x14ac:dyDescent="0.2">
      <c r="A3666" t="str">
        <f>"17/11/2011"</f>
        <v>17/11/2011</v>
      </c>
      <c r="B3666">
        <v>3</v>
      </c>
      <c r="C3666">
        <v>24000</v>
      </c>
      <c r="D3666">
        <v>68131</v>
      </c>
      <c r="E3666">
        <v>24000</v>
      </c>
      <c r="F3666">
        <v>24000</v>
      </c>
      <c r="G3666" s="1">
        <v>0.03</v>
      </c>
      <c r="H3666" s="1">
        <v>2.9899999999999999E-2</v>
      </c>
      <c r="I3666" s="1">
        <v>2.9899999999999999E-2</v>
      </c>
      <c r="J3666" s="1">
        <v>0.19309999999999999</v>
      </c>
    </row>
    <row r="3667" spans="1:10" x14ac:dyDescent="0.2">
      <c r="A3667" t="str">
        <f>"16/11/2011"</f>
        <v>16/11/2011</v>
      </c>
      <c r="B3667">
        <v>1</v>
      </c>
      <c r="C3667">
        <v>20000</v>
      </c>
      <c r="D3667">
        <v>60048</v>
      </c>
      <c r="E3667">
        <v>20000</v>
      </c>
      <c r="F3667">
        <v>20000</v>
      </c>
      <c r="G3667" s="1">
        <v>0.03</v>
      </c>
      <c r="H3667" s="1">
        <v>2.9899999999999999E-2</v>
      </c>
      <c r="I3667" s="1">
        <v>2.9899999999999999E-2</v>
      </c>
      <c r="J3667" s="1">
        <v>0.1691</v>
      </c>
    </row>
    <row r="3668" spans="1:10" x14ac:dyDescent="0.2">
      <c r="A3668" t="str">
        <f>"15/11/2011"</f>
        <v>15/11/2011</v>
      </c>
      <c r="B3668">
        <v>1</v>
      </c>
      <c r="C3668">
        <v>33000</v>
      </c>
      <c r="D3668">
        <v>94135</v>
      </c>
      <c r="E3668">
        <v>33000</v>
      </c>
      <c r="F3668">
        <v>33000</v>
      </c>
      <c r="G3668" s="1">
        <v>0.03</v>
      </c>
      <c r="H3668" s="1">
        <v>0.03</v>
      </c>
      <c r="I3668" s="1">
        <v>0.03</v>
      </c>
      <c r="J3668" s="1">
        <v>0.24079999999999999</v>
      </c>
    </row>
    <row r="3669" spans="1:10" x14ac:dyDescent="0.2">
      <c r="A3669" t="str">
        <f>"14/11/2011"</f>
        <v>14/11/2011</v>
      </c>
      <c r="B3669">
        <v>1</v>
      </c>
      <c r="C3669">
        <v>34000</v>
      </c>
      <c r="D3669">
        <v>92923</v>
      </c>
      <c r="E3669">
        <v>34000</v>
      </c>
      <c r="F3669">
        <v>34000</v>
      </c>
      <c r="G3669" s="1">
        <v>0.03</v>
      </c>
      <c r="H3669" s="1">
        <v>0.03</v>
      </c>
      <c r="I3669" s="1">
        <v>0.03</v>
      </c>
      <c r="J3669" s="1">
        <v>0.25840000000000002</v>
      </c>
    </row>
    <row r="3670" spans="1:10" x14ac:dyDescent="0.2">
      <c r="A3670" t="str">
        <f>"13/11/2011"</f>
        <v>13/11/2011</v>
      </c>
      <c r="B3670">
        <v>1</v>
      </c>
      <c r="C3670">
        <v>34000</v>
      </c>
      <c r="D3670">
        <v>88450</v>
      </c>
      <c r="E3670">
        <v>34000</v>
      </c>
      <c r="F3670">
        <v>34000</v>
      </c>
      <c r="G3670" s="1">
        <v>0.03</v>
      </c>
      <c r="H3670" s="1">
        <v>0.03</v>
      </c>
      <c r="I3670" s="1">
        <v>0.03</v>
      </c>
      <c r="J3670" s="1">
        <v>0.27429999999999999</v>
      </c>
    </row>
    <row r="3671" spans="1:10" x14ac:dyDescent="0.2">
      <c r="A3671" t="str">
        <f>"10/11/2011"</f>
        <v>10/11/2011</v>
      </c>
      <c r="B3671">
        <v>3</v>
      </c>
      <c r="C3671">
        <v>35000</v>
      </c>
      <c r="D3671">
        <v>81390</v>
      </c>
      <c r="E3671">
        <v>35000</v>
      </c>
      <c r="F3671">
        <v>35000</v>
      </c>
      <c r="G3671" s="1">
        <v>0.03</v>
      </c>
      <c r="H3671" s="1">
        <v>0.03</v>
      </c>
      <c r="I3671" s="1">
        <v>0.03</v>
      </c>
      <c r="J3671" s="1">
        <v>0.32769999999999999</v>
      </c>
    </row>
    <row r="3672" spans="1:10" x14ac:dyDescent="0.2">
      <c r="A3672" t="str">
        <f>"09/11/2011"</f>
        <v>09/11/2011</v>
      </c>
      <c r="B3672">
        <v>1</v>
      </c>
      <c r="C3672">
        <v>35000</v>
      </c>
      <c r="D3672">
        <v>74036</v>
      </c>
      <c r="E3672">
        <v>35000</v>
      </c>
      <c r="F3672">
        <v>35000</v>
      </c>
      <c r="G3672" s="1">
        <v>0.03</v>
      </c>
      <c r="H3672" s="1">
        <v>0.03</v>
      </c>
      <c r="I3672" s="1">
        <v>0.03</v>
      </c>
      <c r="J3672" s="1">
        <v>0.35899999999999999</v>
      </c>
    </row>
    <row r="3673" spans="1:10" x14ac:dyDescent="0.2">
      <c r="A3673" t="str">
        <f>"08/11/2011"</f>
        <v>08/11/2011</v>
      </c>
      <c r="B3673">
        <v>1</v>
      </c>
      <c r="C3673">
        <v>35000</v>
      </c>
      <c r="D3673">
        <v>71450</v>
      </c>
      <c r="E3673">
        <v>35000</v>
      </c>
      <c r="F3673">
        <v>35000</v>
      </c>
      <c r="G3673" s="1">
        <v>0.03</v>
      </c>
      <c r="H3673" s="1">
        <v>0.03</v>
      </c>
      <c r="I3673" s="1">
        <v>0.03</v>
      </c>
      <c r="J3673" s="1">
        <v>0.40010000000000001</v>
      </c>
    </row>
    <row r="3674" spans="1:10" x14ac:dyDescent="0.2">
      <c r="A3674" t="str">
        <f>"06/11/2011"</f>
        <v>06/11/2011</v>
      </c>
      <c r="B3674">
        <v>2</v>
      </c>
      <c r="C3674">
        <v>38000</v>
      </c>
      <c r="D3674">
        <v>57952</v>
      </c>
      <c r="E3674">
        <v>38000</v>
      </c>
      <c r="F3674">
        <v>38000</v>
      </c>
      <c r="G3674" s="1">
        <v>0.03</v>
      </c>
      <c r="H3674" s="1">
        <v>0.03</v>
      </c>
      <c r="I3674" s="1">
        <v>0.03</v>
      </c>
      <c r="J3674" s="1">
        <v>0.5605</v>
      </c>
    </row>
    <row r="3675" spans="1:10" x14ac:dyDescent="0.2">
      <c r="A3675" t="str">
        <f>"03/11/2011"</f>
        <v>03/11/2011</v>
      </c>
      <c r="B3675">
        <v>3</v>
      </c>
      <c r="C3675">
        <v>38000</v>
      </c>
      <c r="D3675">
        <v>71665</v>
      </c>
      <c r="E3675">
        <v>38000</v>
      </c>
      <c r="F3675">
        <v>38000</v>
      </c>
      <c r="G3675" s="1">
        <v>0.03</v>
      </c>
      <c r="H3675" s="1">
        <v>0.03</v>
      </c>
      <c r="I3675" s="1">
        <v>0.03</v>
      </c>
      <c r="J3675" s="1">
        <v>0.43569999999999998</v>
      </c>
    </row>
    <row r="3676" spans="1:10" x14ac:dyDescent="0.2">
      <c r="A3676" t="str">
        <f>"02/11/2011"</f>
        <v>02/11/2011</v>
      </c>
      <c r="B3676">
        <v>1</v>
      </c>
      <c r="C3676">
        <v>38000</v>
      </c>
      <c r="D3676">
        <v>64682</v>
      </c>
      <c r="E3676">
        <v>38000</v>
      </c>
      <c r="F3676">
        <v>38000</v>
      </c>
      <c r="G3676" s="1">
        <v>0.03</v>
      </c>
      <c r="H3676" s="1">
        <v>0.03</v>
      </c>
      <c r="I3676" s="1">
        <v>0.03</v>
      </c>
      <c r="J3676" s="1">
        <v>0.48849999999999999</v>
      </c>
    </row>
    <row r="3677" spans="1:10" x14ac:dyDescent="0.2">
      <c r="A3677" t="str">
        <f>"01/11/2011"</f>
        <v>01/11/2011</v>
      </c>
      <c r="B3677">
        <v>1</v>
      </c>
      <c r="C3677">
        <v>38000</v>
      </c>
      <c r="D3677">
        <v>58620</v>
      </c>
      <c r="E3677">
        <v>38000</v>
      </c>
      <c r="F3677">
        <v>38000</v>
      </c>
      <c r="G3677" s="1">
        <v>0.03</v>
      </c>
      <c r="H3677" s="1">
        <v>0.03</v>
      </c>
      <c r="I3677" s="1">
        <v>0.03</v>
      </c>
      <c r="J3677" s="1">
        <v>0.55869999999999997</v>
      </c>
    </row>
    <row r="3678" spans="1:10" x14ac:dyDescent="0.2">
      <c r="A3678" t="str">
        <f>"31/10/2011"</f>
        <v>31/10/2011</v>
      </c>
      <c r="B3678">
        <v>1</v>
      </c>
      <c r="C3678">
        <v>34000</v>
      </c>
      <c r="D3678">
        <v>50452</v>
      </c>
      <c r="E3678">
        <v>34000</v>
      </c>
      <c r="F3678">
        <v>34000</v>
      </c>
      <c r="G3678" s="1">
        <v>0.03</v>
      </c>
      <c r="H3678" s="1">
        <v>0.03</v>
      </c>
      <c r="I3678" s="1">
        <v>0.03</v>
      </c>
      <c r="J3678" s="1">
        <v>0.62050000000000005</v>
      </c>
    </row>
    <row r="3679" spans="1:10" x14ac:dyDescent="0.2">
      <c r="A3679" t="str">
        <f>"30/10/2011"</f>
        <v>30/10/2011</v>
      </c>
      <c r="B3679">
        <v>1</v>
      </c>
      <c r="C3679">
        <v>32000</v>
      </c>
      <c r="D3679">
        <v>42080</v>
      </c>
      <c r="E3679">
        <v>32000</v>
      </c>
      <c r="F3679">
        <v>32000</v>
      </c>
      <c r="G3679" s="1">
        <v>0.03</v>
      </c>
      <c r="H3679" s="1">
        <v>0.03</v>
      </c>
      <c r="I3679" s="1">
        <v>0.03</v>
      </c>
      <c r="J3679" s="1">
        <v>0.71809999999999996</v>
      </c>
    </row>
    <row r="3680" spans="1:10" x14ac:dyDescent="0.2">
      <c r="A3680" t="str">
        <f>"27/10/2011"</f>
        <v>27/10/2011</v>
      </c>
      <c r="B3680">
        <v>3</v>
      </c>
      <c r="C3680">
        <v>32000</v>
      </c>
      <c r="D3680">
        <v>35891</v>
      </c>
      <c r="E3680">
        <v>32000</v>
      </c>
      <c r="F3680">
        <v>32000</v>
      </c>
      <c r="G3680" s="1">
        <v>0.03</v>
      </c>
      <c r="H3680" s="1">
        <v>0.03</v>
      </c>
      <c r="I3680" s="1">
        <v>0.03</v>
      </c>
      <c r="J3680" s="1">
        <v>0.86009999999999998</v>
      </c>
    </row>
    <row r="3681" spans="1:10" x14ac:dyDescent="0.2">
      <c r="A3681" t="str">
        <f>"26/10/2011"</f>
        <v>26/10/2011</v>
      </c>
      <c r="B3681">
        <v>1</v>
      </c>
      <c r="C3681">
        <v>30000</v>
      </c>
      <c r="D3681">
        <v>26281</v>
      </c>
      <c r="E3681">
        <v>26281</v>
      </c>
      <c r="F3681">
        <v>26281</v>
      </c>
      <c r="G3681" s="1">
        <v>0.03</v>
      </c>
      <c r="H3681" s="1">
        <v>2.9899999999999999E-2</v>
      </c>
      <c r="I3681" s="1">
        <v>2.9899999999999999E-2</v>
      </c>
      <c r="J3681" s="1">
        <v>1</v>
      </c>
    </row>
    <row r="3682" spans="1:10" x14ac:dyDescent="0.2">
      <c r="A3682" t="str">
        <f>"25/10/2011"</f>
        <v>25/10/2011</v>
      </c>
      <c r="B3682">
        <v>1</v>
      </c>
      <c r="C3682">
        <v>29000</v>
      </c>
      <c r="D3682">
        <v>76896</v>
      </c>
      <c r="E3682">
        <v>29000</v>
      </c>
      <c r="F3682">
        <v>29000</v>
      </c>
      <c r="G3682" s="1">
        <v>0.03</v>
      </c>
      <c r="H3682" s="1">
        <v>2.9899999999999999E-2</v>
      </c>
      <c r="I3682" s="1">
        <v>2.9899999999999999E-2</v>
      </c>
      <c r="J3682" s="1">
        <v>0.17419999999999999</v>
      </c>
    </row>
    <row r="3683" spans="1:10" x14ac:dyDescent="0.2">
      <c r="A3683" t="str">
        <f>"24/10/2011"</f>
        <v>24/10/2011</v>
      </c>
      <c r="B3683">
        <v>1</v>
      </c>
      <c r="C3683">
        <v>30000</v>
      </c>
      <c r="D3683">
        <v>78161</v>
      </c>
      <c r="E3683">
        <v>30000</v>
      </c>
      <c r="F3683">
        <v>30000</v>
      </c>
      <c r="G3683" s="1">
        <v>0.03</v>
      </c>
      <c r="H3683" s="1">
        <v>2.9899999999999999E-2</v>
      </c>
      <c r="I3683" s="1">
        <v>2.9899999999999999E-2</v>
      </c>
      <c r="J3683" s="1">
        <v>0.1651</v>
      </c>
    </row>
    <row r="3684" spans="1:10" x14ac:dyDescent="0.2">
      <c r="A3684" t="str">
        <f>"23/10/2011"</f>
        <v>23/10/2011</v>
      </c>
      <c r="B3684">
        <v>1</v>
      </c>
      <c r="C3684">
        <v>30000</v>
      </c>
      <c r="D3684">
        <v>77225</v>
      </c>
      <c r="E3684">
        <v>30000</v>
      </c>
      <c r="F3684">
        <v>30000</v>
      </c>
      <c r="G3684" s="1">
        <v>0.03</v>
      </c>
      <c r="H3684" s="1">
        <v>2.9899999999999999E-2</v>
      </c>
      <c r="I3684" s="1">
        <v>2.9899999999999999E-2</v>
      </c>
      <c r="J3684" s="1">
        <v>0.2079</v>
      </c>
    </row>
    <row r="3685" spans="1:10" x14ac:dyDescent="0.2">
      <c r="A3685" t="str">
        <f>"18/10/2011"</f>
        <v>18/10/2011</v>
      </c>
      <c r="B3685">
        <v>5</v>
      </c>
      <c r="C3685">
        <v>30000</v>
      </c>
      <c r="D3685">
        <v>71300</v>
      </c>
      <c r="E3685">
        <v>30000</v>
      </c>
      <c r="F3685">
        <v>30000</v>
      </c>
      <c r="G3685" s="1">
        <v>0.03</v>
      </c>
      <c r="H3685" s="1">
        <v>2.9899999999999999E-2</v>
      </c>
      <c r="I3685" s="1">
        <v>2.9899999999999999E-2</v>
      </c>
      <c r="J3685" s="1">
        <v>0.25800000000000001</v>
      </c>
    </row>
    <row r="3686" spans="1:10" x14ac:dyDescent="0.2">
      <c r="A3686" t="str">
        <f>"17/10/2011"</f>
        <v>17/10/2011</v>
      </c>
      <c r="B3686">
        <v>1</v>
      </c>
      <c r="C3686">
        <v>29000</v>
      </c>
      <c r="D3686">
        <v>93225</v>
      </c>
      <c r="E3686">
        <v>29000</v>
      </c>
      <c r="F3686">
        <v>29000</v>
      </c>
      <c r="G3686" s="1">
        <v>0.03</v>
      </c>
      <c r="H3686" s="1">
        <v>2.9899999999999999E-2</v>
      </c>
      <c r="I3686" s="1">
        <v>2.9899999999999999E-2</v>
      </c>
      <c r="J3686" s="1">
        <v>0.1623</v>
      </c>
    </row>
    <row r="3687" spans="1:10" x14ac:dyDescent="0.2">
      <c r="A3687" t="str">
        <f>"16/10/2011"</f>
        <v>16/10/2011</v>
      </c>
      <c r="B3687">
        <v>1</v>
      </c>
      <c r="C3687">
        <v>33000</v>
      </c>
      <c r="D3687">
        <v>85544</v>
      </c>
      <c r="E3687">
        <v>33000</v>
      </c>
      <c r="F3687">
        <v>33000</v>
      </c>
      <c r="G3687" s="1">
        <v>0.03</v>
      </c>
      <c r="H3687" s="1">
        <v>2.9899999999999999E-2</v>
      </c>
      <c r="I3687" s="1">
        <v>2.9899999999999999E-2</v>
      </c>
      <c r="J3687" s="1">
        <v>0.2228</v>
      </c>
    </row>
    <row r="3688" spans="1:10" x14ac:dyDescent="0.2">
      <c r="A3688" t="str">
        <f>"11/10/2011"</f>
        <v>11/10/2011</v>
      </c>
      <c r="B3688">
        <v>5</v>
      </c>
      <c r="C3688">
        <v>34000</v>
      </c>
      <c r="D3688">
        <v>81170</v>
      </c>
      <c r="E3688">
        <v>34000</v>
      </c>
      <c r="F3688">
        <v>34000</v>
      </c>
      <c r="G3688" s="1">
        <v>0.03</v>
      </c>
      <c r="H3688" s="1">
        <v>0.03</v>
      </c>
      <c r="I3688" s="1">
        <v>0.03</v>
      </c>
      <c r="J3688" s="1">
        <v>0.29120000000000001</v>
      </c>
    </row>
    <row r="3689" spans="1:10" x14ac:dyDescent="0.2">
      <c r="A3689" t="str">
        <f>"10/10/2011"</f>
        <v>10/10/2011</v>
      </c>
      <c r="B3689">
        <v>1</v>
      </c>
      <c r="C3689">
        <v>35000</v>
      </c>
      <c r="D3689">
        <v>91866</v>
      </c>
      <c r="E3689">
        <v>35000</v>
      </c>
      <c r="F3689">
        <v>35000</v>
      </c>
      <c r="G3689" s="1">
        <v>0.03</v>
      </c>
      <c r="H3689" s="1">
        <v>0.03</v>
      </c>
      <c r="I3689" s="1">
        <v>0.03</v>
      </c>
      <c r="J3689" s="1">
        <v>0.27239999999999998</v>
      </c>
    </row>
    <row r="3690" spans="1:10" x14ac:dyDescent="0.2">
      <c r="A3690" t="str">
        <f>"09/10/2011"</f>
        <v>09/10/2011</v>
      </c>
      <c r="B3690">
        <v>1</v>
      </c>
      <c r="C3690">
        <v>35000</v>
      </c>
      <c r="D3690">
        <v>86545</v>
      </c>
      <c r="E3690">
        <v>35000</v>
      </c>
      <c r="F3690">
        <v>35000</v>
      </c>
      <c r="G3690" s="1">
        <v>0.03</v>
      </c>
      <c r="H3690" s="1">
        <v>0.03</v>
      </c>
      <c r="I3690" s="1">
        <v>0.03</v>
      </c>
      <c r="J3690" s="1">
        <v>0.3105</v>
      </c>
    </row>
    <row r="3691" spans="1:10" x14ac:dyDescent="0.2">
      <c r="A3691" t="str">
        <f>"06/10/2011"</f>
        <v>06/10/2011</v>
      </c>
      <c r="B3691">
        <v>3</v>
      </c>
      <c r="C3691">
        <v>35000</v>
      </c>
      <c r="D3691">
        <v>76525</v>
      </c>
      <c r="E3691">
        <v>35000</v>
      </c>
      <c r="F3691">
        <v>35000</v>
      </c>
      <c r="G3691" s="1">
        <v>0.03</v>
      </c>
      <c r="H3691" s="1">
        <v>0.03</v>
      </c>
      <c r="I3691" s="1">
        <v>0.03</v>
      </c>
      <c r="J3691" s="1">
        <v>0.36209999999999998</v>
      </c>
    </row>
    <row r="3692" spans="1:10" x14ac:dyDescent="0.2">
      <c r="A3692" t="str">
        <f>"05/10/2011"</f>
        <v>05/10/2011</v>
      </c>
      <c r="B3692">
        <v>1</v>
      </c>
      <c r="C3692">
        <v>35000</v>
      </c>
      <c r="D3692">
        <v>70948</v>
      </c>
      <c r="E3692">
        <v>35000</v>
      </c>
      <c r="F3692">
        <v>35000</v>
      </c>
      <c r="G3692" s="1">
        <v>0.03</v>
      </c>
      <c r="H3692" s="1">
        <v>0.03</v>
      </c>
      <c r="I3692" s="1">
        <v>0.03</v>
      </c>
      <c r="J3692" s="1">
        <v>0.40339999999999998</v>
      </c>
    </row>
    <row r="3693" spans="1:10" x14ac:dyDescent="0.2">
      <c r="A3693" t="str">
        <f>"04/10/2011"</f>
        <v>04/10/2011</v>
      </c>
      <c r="B3693">
        <v>1</v>
      </c>
      <c r="C3693">
        <v>35000</v>
      </c>
      <c r="D3693">
        <v>61901</v>
      </c>
      <c r="E3693">
        <v>35000</v>
      </c>
      <c r="F3693">
        <v>35000</v>
      </c>
      <c r="G3693" s="1">
        <v>0.03</v>
      </c>
      <c r="H3693" s="1">
        <v>0.03</v>
      </c>
      <c r="I3693" s="1">
        <v>0.03</v>
      </c>
      <c r="J3693" s="1">
        <v>0.503</v>
      </c>
    </row>
    <row r="3694" spans="1:10" x14ac:dyDescent="0.2">
      <c r="A3694" t="str">
        <f>"03/10/2011"</f>
        <v>03/10/2011</v>
      </c>
      <c r="B3694">
        <v>1</v>
      </c>
      <c r="C3694">
        <v>37000</v>
      </c>
      <c r="D3694">
        <v>56731</v>
      </c>
      <c r="E3694">
        <v>37000</v>
      </c>
      <c r="F3694">
        <v>37000</v>
      </c>
      <c r="G3694" s="1">
        <v>0.03</v>
      </c>
      <c r="H3694" s="1">
        <v>0.03</v>
      </c>
      <c r="I3694" s="1">
        <v>0.03</v>
      </c>
      <c r="J3694" s="1">
        <v>0.60640000000000005</v>
      </c>
    </row>
    <row r="3695" spans="1:10" x14ac:dyDescent="0.2">
      <c r="A3695" t="str">
        <f>"02/10/2011"</f>
        <v>02/10/2011</v>
      </c>
      <c r="B3695">
        <v>1</v>
      </c>
      <c r="C3695">
        <v>37000</v>
      </c>
      <c r="D3695">
        <v>47801</v>
      </c>
      <c r="E3695">
        <v>37000</v>
      </c>
      <c r="F3695">
        <v>37000</v>
      </c>
      <c r="G3695" s="1">
        <v>0.03</v>
      </c>
      <c r="H3695" s="1">
        <v>0.03</v>
      </c>
      <c r="I3695" s="1">
        <v>0.03</v>
      </c>
      <c r="J3695" s="1">
        <v>0.73740000000000006</v>
      </c>
    </row>
    <row r="3696" spans="1:10" x14ac:dyDescent="0.2">
      <c r="A3696" t="str">
        <f>"28/09/2011"</f>
        <v>28/09/2011</v>
      </c>
      <c r="B3696">
        <v>4</v>
      </c>
      <c r="C3696">
        <v>31000</v>
      </c>
      <c r="D3696">
        <v>28035</v>
      </c>
      <c r="E3696">
        <v>28035</v>
      </c>
      <c r="F3696">
        <v>28035</v>
      </c>
      <c r="G3696" s="1">
        <v>3.2500000000000001E-2</v>
      </c>
      <c r="H3696" s="1">
        <v>3.2399999999999998E-2</v>
      </c>
      <c r="I3696" s="1">
        <v>3.2399999999999998E-2</v>
      </c>
      <c r="J3696" s="1">
        <v>1</v>
      </c>
    </row>
    <row r="3697" spans="1:10" x14ac:dyDescent="0.2">
      <c r="A3697" t="str">
        <f>"27/09/2011"</f>
        <v>27/09/2011</v>
      </c>
      <c r="B3697">
        <v>1</v>
      </c>
      <c r="C3697">
        <v>28000</v>
      </c>
      <c r="D3697">
        <v>39049</v>
      </c>
      <c r="E3697">
        <v>28000</v>
      </c>
      <c r="F3697">
        <v>28000</v>
      </c>
      <c r="G3697" s="1">
        <v>3.2500000000000001E-2</v>
      </c>
      <c r="H3697" s="1">
        <v>3.2399999999999998E-2</v>
      </c>
      <c r="I3697" s="1">
        <v>3.2399999999999998E-2</v>
      </c>
      <c r="J3697" s="1">
        <v>0.5968</v>
      </c>
    </row>
    <row r="3698" spans="1:10" x14ac:dyDescent="0.2">
      <c r="A3698" t="str">
        <f>"26/09/2011"</f>
        <v>26/09/2011</v>
      </c>
      <c r="B3698">
        <v>1</v>
      </c>
      <c r="C3698">
        <v>29000</v>
      </c>
      <c r="D3698">
        <v>53120</v>
      </c>
      <c r="E3698">
        <v>29000</v>
      </c>
      <c r="F3698">
        <v>29000</v>
      </c>
      <c r="G3698" s="1">
        <v>3.2500000000000001E-2</v>
      </c>
      <c r="H3698" s="1">
        <v>3.2500000000000001E-2</v>
      </c>
      <c r="I3698" s="1">
        <v>3.2500000000000001E-2</v>
      </c>
      <c r="J3698" s="1">
        <v>0.47049999999999997</v>
      </c>
    </row>
    <row r="3699" spans="1:10" x14ac:dyDescent="0.2">
      <c r="A3699" t="str">
        <f>"25/09/2011"</f>
        <v>25/09/2011</v>
      </c>
      <c r="B3699">
        <v>1</v>
      </c>
      <c r="C3699">
        <v>29000</v>
      </c>
      <c r="D3699">
        <v>58489</v>
      </c>
      <c r="E3699">
        <v>29000</v>
      </c>
      <c r="F3699">
        <v>29000</v>
      </c>
      <c r="G3699" s="1">
        <v>3.2500000000000001E-2</v>
      </c>
      <c r="H3699" s="1">
        <v>3.2500000000000001E-2</v>
      </c>
      <c r="I3699" s="1">
        <v>3.2500000000000001E-2</v>
      </c>
      <c r="J3699" s="1">
        <v>0.40670000000000001</v>
      </c>
    </row>
    <row r="3700" spans="1:10" x14ac:dyDescent="0.2">
      <c r="A3700" t="str">
        <f>"22/09/2011"</f>
        <v>22/09/2011</v>
      </c>
      <c r="B3700">
        <v>3</v>
      </c>
      <c r="C3700">
        <v>26000</v>
      </c>
      <c r="D3700">
        <v>52040</v>
      </c>
      <c r="E3700">
        <v>26000</v>
      </c>
      <c r="F3700">
        <v>26000</v>
      </c>
      <c r="G3700" s="1">
        <v>3.2500000000000001E-2</v>
      </c>
      <c r="H3700" s="1">
        <v>3.2500000000000001E-2</v>
      </c>
      <c r="I3700" s="1">
        <v>3.2500000000000001E-2</v>
      </c>
      <c r="J3700" s="1">
        <v>0.34410000000000002</v>
      </c>
    </row>
    <row r="3701" spans="1:10" x14ac:dyDescent="0.2">
      <c r="A3701" t="str">
        <f>"21/09/2011"</f>
        <v>21/09/2011</v>
      </c>
      <c r="B3701">
        <v>1</v>
      </c>
      <c r="C3701">
        <v>27000</v>
      </c>
      <c r="D3701">
        <v>57147</v>
      </c>
      <c r="E3701">
        <v>27000</v>
      </c>
      <c r="F3701">
        <v>27000</v>
      </c>
      <c r="G3701" s="1">
        <v>3.2500000000000001E-2</v>
      </c>
      <c r="H3701" s="1">
        <v>3.2399999999999998E-2</v>
      </c>
      <c r="I3701" s="1">
        <v>3.2399999999999998E-2</v>
      </c>
      <c r="J3701" s="1">
        <v>0.30280000000000001</v>
      </c>
    </row>
    <row r="3702" spans="1:10" x14ac:dyDescent="0.2">
      <c r="A3702" t="str">
        <f>"20/09/2011"</f>
        <v>20/09/2011</v>
      </c>
      <c r="B3702">
        <v>1</v>
      </c>
      <c r="C3702">
        <v>27000</v>
      </c>
      <c r="D3702">
        <v>74440</v>
      </c>
      <c r="E3702">
        <v>27000</v>
      </c>
      <c r="F3702">
        <v>27000</v>
      </c>
      <c r="G3702" s="1">
        <v>3.2500000000000001E-2</v>
      </c>
      <c r="H3702" s="1">
        <v>3.2500000000000001E-2</v>
      </c>
      <c r="I3702" s="1">
        <v>3.2500000000000001E-2</v>
      </c>
      <c r="J3702" s="1">
        <v>0.2399</v>
      </c>
    </row>
    <row r="3703" spans="1:10" x14ac:dyDescent="0.2">
      <c r="A3703" t="str">
        <f>"19/09/2011"</f>
        <v>19/09/2011</v>
      </c>
      <c r="B3703">
        <v>1</v>
      </c>
      <c r="C3703">
        <v>29000</v>
      </c>
      <c r="D3703">
        <v>70740</v>
      </c>
      <c r="E3703">
        <v>29000</v>
      </c>
      <c r="F3703">
        <v>29000</v>
      </c>
      <c r="G3703" s="1">
        <v>3.2500000000000001E-2</v>
      </c>
      <c r="H3703" s="1">
        <v>3.2500000000000001E-2</v>
      </c>
      <c r="I3703" s="1">
        <v>3.2500000000000001E-2</v>
      </c>
      <c r="J3703" s="1">
        <v>0.29499999999999998</v>
      </c>
    </row>
    <row r="3704" spans="1:10" x14ac:dyDescent="0.2">
      <c r="A3704" t="str">
        <f>"18/09/2011"</f>
        <v>18/09/2011</v>
      </c>
      <c r="B3704">
        <v>1</v>
      </c>
      <c r="C3704">
        <v>30000</v>
      </c>
      <c r="D3704">
        <v>61031</v>
      </c>
      <c r="E3704">
        <v>30000</v>
      </c>
      <c r="F3704">
        <v>30000</v>
      </c>
      <c r="G3704" s="1">
        <v>3.2500000000000001E-2</v>
      </c>
      <c r="H3704" s="1">
        <v>3.2500000000000001E-2</v>
      </c>
      <c r="I3704" s="1">
        <v>3.2500000000000001E-2</v>
      </c>
      <c r="J3704" s="1">
        <v>0.38150000000000001</v>
      </c>
    </row>
    <row r="3705" spans="1:10" x14ac:dyDescent="0.2">
      <c r="A3705" t="str">
        <f>"15/09/2011"</f>
        <v>15/09/2011</v>
      </c>
      <c r="B3705">
        <v>3</v>
      </c>
      <c r="C3705">
        <v>30000</v>
      </c>
      <c r="D3705">
        <v>52308</v>
      </c>
      <c r="E3705">
        <v>30000</v>
      </c>
      <c r="F3705">
        <v>30000</v>
      </c>
      <c r="G3705" s="1">
        <v>3.2500000000000001E-2</v>
      </c>
      <c r="H3705" s="1">
        <v>3.2500000000000001E-2</v>
      </c>
      <c r="I3705" s="1">
        <v>3.2500000000000001E-2</v>
      </c>
      <c r="J3705" s="1">
        <v>0.46179999999999999</v>
      </c>
    </row>
    <row r="3706" spans="1:10" x14ac:dyDescent="0.2">
      <c r="A3706" t="str">
        <f>"15/09/2011"</f>
        <v>15/09/2011</v>
      </c>
      <c r="B3706">
        <v>1</v>
      </c>
      <c r="C3706">
        <v>15000</v>
      </c>
      <c r="D3706">
        <v>22390</v>
      </c>
      <c r="E3706">
        <v>15000</v>
      </c>
      <c r="F3706">
        <v>15000</v>
      </c>
      <c r="G3706" s="1">
        <v>3.2500000000000001E-2</v>
      </c>
      <c r="H3706" s="1">
        <v>3.2500000000000001E-2</v>
      </c>
      <c r="I3706" s="1">
        <v>3.2500000000000001E-2</v>
      </c>
      <c r="J3706" s="1">
        <v>0.61509999999999998</v>
      </c>
    </row>
    <row r="3707" spans="1:10" x14ac:dyDescent="0.2">
      <c r="A3707" t="str">
        <f>"14/09/2011"</f>
        <v>14/09/2011</v>
      </c>
      <c r="B3707">
        <v>1</v>
      </c>
      <c r="C3707">
        <v>45000</v>
      </c>
      <c r="D3707">
        <v>68565</v>
      </c>
      <c r="E3707">
        <v>45000</v>
      </c>
      <c r="F3707">
        <v>45000</v>
      </c>
      <c r="G3707" s="1">
        <v>3.2500000000000001E-2</v>
      </c>
      <c r="H3707" s="1">
        <v>3.2500000000000001E-2</v>
      </c>
      <c r="I3707" s="1">
        <v>3.2500000000000001E-2</v>
      </c>
      <c r="J3707" s="1">
        <v>0.58979999999999999</v>
      </c>
    </row>
    <row r="3708" spans="1:10" x14ac:dyDescent="0.2">
      <c r="A3708" t="str">
        <f>"13/09/2011"</f>
        <v>13/09/2011</v>
      </c>
      <c r="B3708">
        <v>1</v>
      </c>
      <c r="C3708">
        <v>46000</v>
      </c>
      <c r="D3708">
        <v>81139</v>
      </c>
      <c r="E3708">
        <v>46000</v>
      </c>
      <c r="F3708">
        <v>46000</v>
      </c>
      <c r="G3708" s="1">
        <v>3.2500000000000001E-2</v>
      </c>
      <c r="H3708" s="1">
        <v>3.2500000000000001E-2</v>
      </c>
      <c r="I3708" s="1">
        <v>3.2500000000000001E-2</v>
      </c>
      <c r="J3708" s="1">
        <v>0.5091</v>
      </c>
    </row>
    <row r="3709" spans="1:10" x14ac:dyDescent="0.2">
      <c r="A3709" t="str">
        <f>"12/09/2011"</f>
        <v>12/09/2011</v>
      </c>
      <c r="B3709">
        <v>1</v>
      </c>
      <c r="C3709">
        <v>47000</v>
      </c>
      <c r="D3709">
        <v>83964</v>
      </c>
      <c r="E3709">
        <v>47000</v>
      </c>
      <c r="F3709">
        <v>47000</v>
      </c>
      <c r="G3709" s="1">
        <v>3.2500000000000001E-2</v>
      </c>
      <c r="H3709" s="1">
        <v>3.2500000000000001E-2</v>
      </c>
      <c r="I3709" s="1">
        <v>3.2500000000000001E-2</v>
      </c>
      <c r="J3709" s="1">
        <v>0.49930000000000002</v>
      </c>
    </row>
    <row r="3710" spans="1:10" x14ac:dyDescent="0.2">
      <c r="A3710" t="str">
        <f>"11/09/2011"</f>
        <v>11/09/2011</v>
      </c>
      <c r="B3710">
        <v>1</v>
      </c>
      <c r="C3710">
        <v>47000</v>
      </c>
      <c r="D3710">
        <v>82498</v>
      </c>
      <c r="E3710">
        <v>47000</v>
      </c>
      <c r="F3710">
        <v>47000</v>
      </c>
      <c r="G3710" s="1">
        <v>3.2500000000000001E-2</v>
      </c>
      <c r="H3710" s="1">
        <v>3.2500000000000001E-2</v>
      </c>
      <c r="I3710" s="1">
        <v>3.2500000000000001E-2</v>
      </c>
      <c r="J3710" s="1">
        <v>0.51839999999999997</v>
      </c>
    </row>
    <row r="3711" spans="1:10" x14ac:dyDescent="0.2">
      <c r="A3711" t="str">
        <f>"08/09/2011"</f>
        <v>08/09/2011</v>
      </c>
      <c r="B3711">
        <v>3</v>
      </c>
      <c r="C3711">
        <v>48000</v>
      </c>
      <c r="D3711">
        <v>81430</v>
      </c>
      <c r="E3711">
        <v>48000</v>
      </c>
      <c r="F3711">
        <v>48000</v>
      </c>
      <c r="G3711" s="1">
        <v>3.2500000000000001E-2</v>
      </c>
      <c r="H3711" s="1">
        <v>3.2500000000000001E-2</v>
      </c>
      <c r="I3711" s="1">
        <v>3.2500000000000001E-2</v>
      </c>
      <c r="J3711" s="1">
        <v>0.53410000000000002</v>
      </c>
    </row>
    <row r="3712" spans="1:10" x14ac:dyDescent="0.2">
      <c r="A3712" t="str">
        <f>"07/09/2011"</f>
        <v>07/09/2011</v>
      </c>
      <c r="B3712">
        <v>1</v>
      </c>
      <c r="C3712">
        <v>47000</v>
      </c>
      <c r="D3712">
        <v>82332</v>
      </c>
      <c r="E3712">
        <v>47000</v>
      </c>
      <c r="F3712">
        <v>47000</v>
      </c>
      <c r="G3712" s="1">
        <v>3.2500000000000001E-2</v>
      </c>
      <c r="H3712" s="1">
        <v>3.2500000000000001E-2</v>
      </c>
      <c r="I3712" s="1">
        <v>3.2500000000000001E-2</v>
      </c>
      <c r="J3712" s="1">
        <v>0.50900000000000001</v>
      </c>
    </row>
    <row r="3713" spans="1:10" x14ac:dyDescent="0.2">
      <c r="A3713" t="str">
        <f>"06/09/2011"</f>
        <v>06/09/2011</v>
      </c>
      <c r="B3713">
        <v>1</v>
      </c>
      <c r="C3713">
        <v>46000</v>
      </c>
      <c r="D3713">
        <v>72670</v>
      </c>
      <c r="E3713">
        <v>46000</v>
      </c>
      <c r="F3713">
        <v>46000</v>
      </c>
      <c r="G3713" s="1">
        <v>3.2500000000000001E-2</v>
      </c>
      <c r="H3713" s="1">
        <v>3.2500000000000001E-2</v>
      </c>
      <c r="I3713" s="1">
        <v>3.2500000000000001E-2</v>
      </c>
      <c r="J3713" s="1">
        <v>0.57750000000000001</v>
      </c>
    </row>
    <row r="3714" spans="1:10" x14ac:dyDescent="0.2">
      <c r="A3714" t="str">
        <f>"05/09/2011"</f>
        <v>05/09/2011</v>
      </c>
      <c r="B3714">
        <v>1</v>
      </c>
      <c r="C3714">
        <v>47000</v>
      </c>
      <c r="D3714">
        <v>70610</v>
      </c>
      <c r="E3714">
        <v>47000</v>
      </c>
      <c r="F3714">
        <v>47000</v>
      </c>
      <c r="G3714" s="1">
        <v>3.2500000000000001E-2</v>
      </c>
      <c r="H3714" s="1">
        <v>3.2500000000000001E-2</v>
      </c>
      <c r="I3714" s="1">
        <v>3.2500000000000001E-2</v>
      </c>
      <c r="J3714" s="1">
        <v>0.62260000000000004</v>
      </c>
    </row>
    <row r="3715" spans="1:10" x14ac:dyDescent="0.2">
      <c r="A3715" t="str">
        <f>"04/09/2011"</f>
        <v>04/09/2011</v>
      </c>
      <c r="B3715">
        <v>1</v>
      </c>
      <c r="C3715">
        <v>46000</v>
      </c>
      <c r="D3715">
        <v>60313</v>
      </c>
      <c r="E3715">
        <v>46000</v>
      </c>
      <c r="F3715">
        <v>46000</v>
      </c>
      <c r="G3715" s="1">
        <v>3.2500000000000001E-2</v>
      </c>
      <c r="H3715" s="1">
        <v>3.2500000000000001E-2</v>
      </c>
      <c r="I3715" s="1">
        <v>3.2500000000000001E-2</v>
      </c>
      <c r="J3715" s="1">
        <v>0.72319999999999995</v>
      </c>
    </row>
    <row r="3716" spans="1:10" x14ac:dyDescent="0.2">
      <c r="A3716" t="str">
        <f>"01/09/2011"</f>
        <v>01/09/2011</v>
      </c>
      <c r="B3716">
        <v>3</v>
      </c>
      <c r="C3716">
        <v>46000</v>
      </c>
      <c r="D3716">
        <v>52555</v>
      </c>
      <c r="E3716">
        <v>46000</v>
      </c>
      <c r="F3716">
        <v>46000</v>
      </c>
      <c r="G3716" s="1">
        <v>3.2500000000000001E-2</v>
      </c>
      <c r="H3716" s="1">
        <v>3.2500000000000001E-2</v>
      </c>
      <c r="I3716" s="1">
        <v>3.2500000000000001E-2</v>
      </c>
      <c r="J3716" s="1">
        <v>0.85099999999999998</v>
      </c>
    </row>
    <row r="3717" spans="1:10" x14ac:dyDescent="0.2">
      <c r="A3717" t="str">
        <f>"31/08/2011"</f>
        <v>31/08/2011</v>
      </c>
      <c r="B3717">
        <v>1</v>
      </c>
      <c r="C3717">
        <v>37000</v>
      </c>
      <c r="D3717">
        <v>35670</v>
      </c>
      <c r="E3717">
        <v>35670</v>
      </c>
      <c r="F3717">
        <v>35670</v>
      </c>
      <c r="G3717" s="1">
        <v>3.2500000000000001E-2</v>
      </c>
      <c r="H3717" s="1">
        <v>3.2399999999999998E-2</v>
      </c>
      <c r="I3717" s="1">
        <v>3.2399999999999998E-2</v>
      </c>
      <c r="J3717" s="1">
        <v>1</v>
      </c>
    </row>
    <row r="3718" spans="1:10" x14ac:dyDescent="0.2">
      <c r="A3718" t="str">
        <f>"30/08/2011"</f>
        <v>30/08/2011</v>
      </c>
      <c r="B3718">
        <v>1</v>
      </c>
      <c r="C3718">
        <v>32000</v>
      </c>
      <c r="D3718">
        <v>75718</v>
      </c>
      <c r="E3718">
        <v>32000</v>
      </c>
      <c r="F3718">
        <v>32000</v>
      </c>
      <c r="G3718" s="1">
        <v>3.2500000000000001E-2</v>
      </c>
      <c r="H3718" s="1">
        <v>3.2399999999999998E-2</v>
      </c>
      <c r="I3718" s="1">
        <v>3.2399999999999998E-2</v>
      </c>
      <c r="J3718" s="1">
        <v>0.22689999999999999</v>
      </c>
    </row>
    <row r="3719" spans="1:10" x14ac:dyDescent="0.2">
      <c r="A3719" t="str">
        <f>"29/08/2011"</f>
        <v>29/08/2011</v>
      </c>
      <c r="B3719">
        <v>1</v>
      </c>
      <c r="C3719">
        <v>31000</v>
      </c>
      <c r="D3719">
        <v>88505</v>
      </c>
      <c r="E3719">
        <v>31000</v>
      </c>
      <c r="F3719">
        <v>31000</v>
      </c>
      <c r="G3719" s="1">
        <v>3.2500000000000001E-2</v>
      </c>
      <c r="H3719" s="1">
        <v>3.2399999999999998E-2</v>
      </c>
      <c r="I3719" s="1">
        <v>3.2399999999999998E-2</v>
      </c>
      <c r="J3719" s="1">
        <v>0.17849999999999999</v>
      </c>
    </row>
    <row r="3720" spans="1:10" x14ac:dyDescent="0.2">
      <c r="A3720" t="str">
        <f>"28/08/2011"</f>
        <v>28/08/2011</v>
      </c>
      <c r="B3720">
        <v>1</v>
      </c>
      <c r="C3720">
        <v>32000</v>
      </c>
      <c r="D3720">
        <v>96003</v>
      </c>
      <c r="E3720">
        <v>32000</v>
      </c>
      <c r="F3720">
        <v>32000</v>
      </c>
      <c r="G3720" s="1">
        <v>3.2500000000000001E-2</v>
      </c>
      <c r="H3720" s="1">
        <v>3.2399999999999998E-2</v>
      </c>
      <c r="I3720" s="1">
        <v>3.2399999999999998E-2</v>
      </c>
      <c r="J3720" s="1">
        <v>0.21229999999999999</v>
      </c>
    </row>
    <row r="3721" spans="1:10" x14ac:dyDescent="0.2">
      <c r="A3721" t="str">
        <f>"25/08/2011"</f>
        <v>25/08/2011</v>
      </c>
      <c r="B3721">
        <v>3</v>
      </c>
      <c r="C3721">
        <v>31000</v>
      </c>
      <c r="D3721">
        <v>84954</v>
      </c>
      <c r="E3721">
        <v>31000</v>
      </c>
      <c r="F3721">
        <v>31000</v>
      </c>
      <c r="G3721" s="1">
        <v>3.2500000000000001E-2</v>
      </c>
      <c r="H3721" s="1">
        <v>3.2399999999999998E-2</v>
      </c>
      <c r="I3721" s="1">
        <v>3.2399999999999998E-2</v>
      </c>
      <c r="J3721" s="1">
        <v>0.189</v>
      </c>
    </row>
    <row r="3722" spans="1:10" x14ac:dyDescent="0.2">
      <c r="A3722" t="str">
        <f>"24/08/2011"</f>
        <v>24/08/2011</v>
      </c>
      <c r="B3722">
        <v>1</v>
      </c>
      <c r="C3722">
        <v>29000</v>
      </c>
      <c r="D3722">
        <v>80998</v>
      </c>
      <c r="E3722">
        <v>29000</v>
      </c>
      <c r="F3722">
        <v>29000</v>
      </c>
      <c r="G3722" s="1">
        <v>3.2500000000000001E-2</v>
      </c>
      <c r="H3722" s="1">
        <v>3.2399999999999998E-2</v>
      </c>
      <c r="I3722" s="1">
        <v>3.2399999999999998E-2</v>
      </c>
      <c r="J3722" s="1">
        <v>0.1729</v>
      </c>
    </row>
    <row r="3723" spans="1:10" x14ac:dyDescent="0.2">
      <c r="A3723" t="str">
        <f>"23/08/2011"</f>
        <v>23/08/2011</v>
      </c>
      <c r="B3723">
        <v>1</v>
      </c>
      <c r="C3723">
        <v>29000</v>
      </c>
      <c r="D3723">
        <v>80669</v>
      </c>
      <c r="E3723">
        <v>29000</v>
      </c>
      <c r="F3723">
        <v>29000</v>
      </c>
      <c r="G3723" s="1">
        <v>3.2500000000000001E-2</v>
      </c>
      <c r="H3723" s="1">
        <v>3.2399999999999998E-2</v>
      </c>
      <c r="I3723" s="1">
        <v>3.2399999999999998E-2</v>
      </c>
      <c r="J3723" s="1">
        <v>0.19009999999999999</v>
      </c>
    </row>
    <row r="3724" spans="1:10" x14ac:dyDescent="0.2">
      <c r="A3724" t="str">
        <f>"22/08/2011"</f>
        <v>22/08/2011</v>
      </c>
      <c r="B3724">
        <v>1</v>
      </c>
      <c r="C3724">
        <v>30000</v>
      </c>
      <c r="D3724">
        <v>74583</v>
      </c>
      <c r="E3724">
        <v>30000</v>
      </c>
      <c r="F3724">
        <v>30000</v>
      </c>
      <c r="G3724" s="1">
        <v>3.2500000000000001E-2</v>
      </c>
      <c r="H3724" s="1">
        <v>3.2399999999999998E-2</v>
      </c>
      <c r="I3724" s="1">
        <v>3.2399999999999998E-2</v>
      </c>
      <c r="J3724" s="1">
        <v>0.23130000000000001</v>
      </c>
    </row>
    <row r="3725" spans="1:10" x14ac:dyDescent="0.2">
      <c r="A3725" t="str">
        <f>"21/08/2011"</f>
        <v>21/08/2011</v>
      </c>
      <c r="B3725">
        <v>1</v>
      </c>
      <c r="C3725">
        <v>30000</v>
      </c>
      <c r="D3725">
        <v>65250</v>
      </c>
      <c r="E3725">
        <v>30000</v>
      </c>
      <c r="F3725">
        <v>30000</v>
      </c>
      <c r="G3725" s="1">
        <v>3.2500000000000001E-2</v>
      </c>
      <c r="H3725" s="1">
        <v>3.2399999999999998E-2</v>
      </c>
      <c r="I3725" s="1">
        <v>3.2399999999999998E-2</v>
      </c>
      <c r="J3725" s="1">
        <v>0.27239999999999998</v>
      </c>
    </row>
    <row r="3726" spans="1:10" x14ac:dyDescent="0.2">
      <c r="A3726" t="str">
        <f>"18/08/2011"</f>
        <v>18/08/2011</v>
      </c>
      <c r="B3726">
        <v>3</v>
      </c>
      <c r="C3726">
        <v>32000</v>
      </c>
      <c r="D3726">
        <v>58553</v>
      </c>
      <c r="E3726">
        <v>32000</v>
      </c>
      <c r="F3726">
        <v>32000</v>
      </c>
      <c r="G3726" s="1">
        <v>3.2500000000000001E-2</v>
      </c>
      <c r="H3726" s="1">
        <v>3.2399999999999998E-2</v>
      </c>
      <c r="I3726" s="1">
        <v>3.2399999999999998E-2</v>
      </c>
      <c r="J3726" s="1">
        <v>0.35360000000000003</v>
      </c>
    </row>
    <row r="3727" spans="1:10" x14ac:dyDescent="0.2">
      <c r="A3727" t="str">
        <f>"17/08/2011"</f>
        <v>17/08/2011</v>
      </c>
      <c r="B3727">
        <v>1</v>
      </c>
      <c r="C3727">
        <v>33000</v>
      </c>
      <c r="D3727">
        <v>64981</v>
      </c>
      <c r="E3727">
        <v>33000</v>
      </c>
      <c r="F3727">
        <v>33000</v>
      </c>
      <c r="G3727" s="1">
        <v>3.2500000000000001E-2</v>
      </c>
      <c r="H3727" s="1">
        <v>3.2500000000000001E-2</v>
      </c>
      <c r="I3727" s="1">
        <v>3.2500000000000001E-2</v>
      </c>
      <c r="J3727" s="1">
        <v>0.38019999999999998</v>
      </c>
    </row>
    <row r="3728" spans="1:10" x14ac:dyDescent="0.2">
      <c r="A3728" t="str">
        <f>"16/08/2011"</f>
        <v>16/08/2011</v>
      </c>
      <c r="B3728">
        <v>1</v>
      </c>
      <c r="C3728">
        <v>33000</v>
      </c>
      <c r="D3728">
        <v>51530</v>
      </c>
      <c r="E3728">
        <v>33000</v>
      </c>
      <c r="F3728">
        <v>33000</v>
      </c>
      <c r="G3728" s="1">
        <v>3.2500000000000001E-2</v>
      </c>
      <c r="H3728" s="1">
        <v>3.2500000000000001E-2</v>
      </c>
      <c r="I3728" s="1">
        <v>3.2500000000000001E-2</v>
      </c>
      <c r="J3728" s="1">
        <v>0.52029999999999998</v>
      </c>
    </row>
    <row r="3729" spans="1:10" x14ac:dyDescent="0.2">
      <c r="A3729" t="str">
        <f>"15/08/2011"</f>
        <v>15/08/2011</v>
      </c>
      <c r="B3729">
        <v>1</v>
      </c>
      <c r="C3729">
        <v>47000</v>
      </c>
      <c r="D3729">
        <v>67330</v>
      </c>
      <c r="E3729">
        <v>47000</v>
      </c>
      <c r="F3729">
        <v>47000</v>
      </c>
      <c r="G3729" s="1">
        <v>3.2500000000000001E-2</v>
      </c>
      <c r="H3729" s="1">
        <v>3.2500000000000001E-2</v>
      </c>
      <c r="I3729" s="1">
        <v>3.2500000000000001E-2</v>
      </c>
      <c r="J3729" s="1">
        <v>0.62849999999999995</v>
      </c>
    </row>
    <row r="3730" spans="1:10" x14ac:dyDescent="0.2">
      <c r="A3730" t="str">
        <f>"14/08/2011"</f>
        <v>14/08/2011</v>
      </c>
      <c r="B3730">
        <v>1</v>
      </c>
      <c r="C3730">
        <v>47000</v>
      </c>
      <c r="D3730">
        <v>65627</v>
      </c>
      <c r="E3730">
        <v>47000</v>
      </c>
      <c r="F3730">
        <v>47000</v>
      </c>
      <c r="G3730" s="1">
        <v>3.2500000000000001E-2</v>
      </c>
      <c r="H3730" s="1">
        <v>3.2500000000000001E-2</v>
      </c>
      <c r="I3730" s="1">
        <v>3.2500000000000001E-2</v>
      </c>
      <c r="J3730" s="1">
        <v>0.6401</v>
      </c>
    </row>
    <row r="3731" spans="1:10" x14ac:dyDescent="0.2">
      <c r="A3731" t="str">
        <f>"11/08/2011"</f>
        <v>11/08/2011</v>
      </c>
      <c r="B3731">
        <v>3</v>
      </c>
      <c r="C3731">
        <v>48000</v>
      </c>
      <c r="D3731">
        <v>70547</v>
      </c>
      <c r="E3731">
        <v>48000</v>
      </c>
      <c r="F3731">
        <v>48000</v>
      </c>
      <c r="G3731" s="1">
        <v>3.2500000000000001E-2</v>
      </c>
      <c r="H3731" s="1">
        <v>3.2500000000000001E-2</v>
      </c>
      <c r="I3731" s="1">
        <v>3.2500000000000001E-2</v>
      </c>
      <c r="J3731" s="1">
        <v>0.59709999999999996</v>
      </c>
    </row>
    <row r="3732" spans="1:10" x14ac:dyDescent="0.2">
      <c r="A3732" t="str">
        <f>"10/08/2011"</f>
        <v>10/08/2011</v>
      </c>
      <c r="B3732">
        <v>1</v>
      </c>
      <c r="C3732">
        <v>48000</v>
      </c>
      <c r="D3732">
        <v>77145</v>
      </c>
      <c r="E3732">
        <v>48000</v>
      </c>
      <c r="F3732">
        <v>48000</v>
      </c>
      <c r="G3732" s="1">
        <v>3.2500000000000001E-2</v>
      </c>
      <c r="H3732" s="1">
        <v>3.2500000000000001E-2</v>
      </c>
      <c r="I3732" s="1">
        <v>3.2500000000000001E-2</v>
      </c>
      <c r="J3732" s="1">
        <v>0.54179999999999995</v>
      </c>
    </row>
    <row r="3733" spans="1:10" x14ac:dyDescent="0.2">
      <c r="A3733" t="str">
        <f>"08/08/2011"</f>
        <v>08/08/2011</v>
      </c>
      <c r="B3733">
        <v>2</v>
      </c>
      <c r="C3733">
        <v>49000</v>
      </c>
      <c r="D3733">
        <v>78805</v>
      </c>
      <c r="E3733">
        <v>49000</v>
      </c>
      <c r="F3733">
        <v>49000</v>
      </c>
      <c r="G3733" s="1">
        <v>3.2500000000000001E-2</v>
      </c>
      <c r="H3733" s="1">
        <v>3.2500000000000001E-2</v>
      </c>
      <c r="I3733" s="1">
        <v>3.2500000000000001E-2</v>
      </c>
      <c r="J3733" s="1">
        <v>0.55900000000000005</v>
      </c>
    </row>
    <row r="3734" spans="1:10" x14ac:dyDescent="0.2">
      <c r="A3734" t="str">
        <f>"07/08/2011"</f>
        <v>07/08/2011</v>
      </c>
      <c r="B3734">
        <v>1</v>
      </c>
      <c r="C3734">
        <v>48000</v>
      </c>
      <c r="D3734">
        <v>75034</v>
      </c>
      <c r="E3734">
        <v>48000</v>
      </c>
      <c r="F3734">
        <v>48000</v>
      </c>
      <c r="G3734" s="1">
        <v>3.2500000000000001E-2</v>
      </c>
      <c r="H3734" s="1">
        <v>3.2500000000000001E-2</v>
      </c>
      <c r="I3734" s="1">
        <v>3.2500000000000001E-2</v>
      </c>
      <c r="J3734" s="1">
        <v>0.58230000000000004</v>
      </c>
    </row>
    <row r="3735" spans="1:10" x14ac:dyDescent="0.2">
      <c r="A3735" t="str">
        <f>"04/08/2011"</f>
        <v>04/08/2011</v>
      </c>
      <c r="B3735">
        <v>3</v>
      </c>
      <c r="C3735">
        <v>48000</v>
      </c>
      <c r="D3735">
        <v>69330</v>
      </c>
      <c r="E3735">
        <v>48000</v>
      </c>
      <c r="F3735">
        <v>48000</v>
      </c>
      <c r="G3735" s="1">
        <v>3.2500000000000001E-2</v>
      </c>
      <c r="H3735" s="1">
        <v>3.2500000000000001E-2</v>
      </c>
      <c r="I3735" s="1">
        <v>3.2500000000000001E-2</v>
      </c>
      <c r="J3735" s="1">
        <v>0.63700000000000001</v>
      </c>
    </row>
    <row r="3736" spans="1:10" x14ac:dyDescent="0.2">
      <c r="A3736" t="str">
        <f>"03/08/2011"</f>
        <v>03/08/2011</v>
      </c>
      <c r="B3736">
        <v>1</v>
      </c>
      <c r="C3736">
        <v>48000</v>
      </c>
      <c r="D3736">
        <v>67820</v>
      </c>
      <c r="E3736">
        <v>48000</v>
      </c>
      <c r="F3736">
        <v>48000</v>
      </c>
      <c r="G3736" s="1">
        <v>3.2500000000000001E-2</v>
      </c>
      <c r="H3736" s="1">
        <v>3.2500000000000001E-2</v>
      </c>
      <c r="I3736" s="1">
        <v>3.2500000000000001E-2</v>
      </c>
      <c r="J3736" s="1">
        <v>0.65610000000000002</v>
      </c>
    </row>
    <row r="3737" spans="1:10" x14ac:dyDescent="0.2">
      <c r="A3737" t="str">
        <f>"02/08/2011"</f>
        <v>02/08/2011</v>
      </c>
      <c r="B3737">
        <v>1</v>
      </c>
      <c r="C3737">
        <v>46000</v>
      </c>
      <c r="D3737">
        <v>64808</v>
      </c>
      <c r="E3737">
        <v>46000</v>
      </c>
      <c r="F3737">
        <v>46000</v>
      </c>
      <c r="G3737" s="1">
        <v>3.2500000000000001E-2</v>
      </c>
      <c r="H3737" s="1">
        <v>3.2500000000000001E-2</v>
      </c>
      <c r="I3737" s="1">
        <v>3.2500000000000001E-2</v>
      </c>
      <c r="J3737" s="1">
        <v>0.66259999999999997</v>
      </c>
    </row>
    <row r="3738" spans="1:10" x14ac:dyDescent="0.2">
      <c r="A3738" t="str">
        <f>"01/08/2011"</f>
        <v>01/08/2011</v>
      </c>
      <c r="B3738">
        <v>1</v>
      </c>
      <c r="C3738">
        <v>45000</v>
      </c>
      <c r="D3738">
        <v>64201</v>
      </c>
      <c r="E3738">
        <v>45000</v>
      </c>
      <c r="F3738">
        <v>45000</v>
      </c>
      <c r="G3738" s="1">
        <v>3.2500000000000001E-2</v>
      </c>
      <c r="H3738" s="1">
        <v>3.2500000000000001E-2</v>
      </c>
      <c r="I3738" s="1">
        <v>3.2500000000000001E-2</v>
      </c>
      <c r="J3738" s="1">
        <v>0.64139999999999997</v>
      </c>
    </row>
    <row r="3739" spans="1:10" x14ac:dyDescent="0.2">
      <c r="A3739" t="str">
        <f>"31/07/2011"</f>
        <v>31/07/2011</v>
      </c>
      <c r="B3739">
        <v>1</v>
      </c>
      <c r="C3739">
        <v>40000</v>
      </c>
      <c r="D3739">
        <v>55878</v>
      </c>
      <c r="E3739">
        <v>40000</v>
      </c>
      <c r="F3739">
        <v>40000</v>
      </c>
      <c r="G3739" s="1">
        <v>3.2500000000000001E-2</v>
      </c>
      <c r="H3739" s="1">
        <v>3.2500000000000001E-2</v>
      </c>
      <c r="I3739" s="1">
        <v>3.2500000000000001E-2</v>
      </c>
      <c r="J3739" s="1">
        <v>0.66979999999999995</v>
      </c>
    </row>
    <row r="3740" spans="1:10" x14ac:dyDescent="0.2">
      <c r="A3740" t="str">
        <f>"28/07/2011"</f>
        <v>28/07/2011</v>
      </c>
      <c r="B3740">
        <v>3</v>
      </c>
      <c r="C3740">
        <v>39000</v>
      </c>
      <c r="D3740">
        <v>51922</v>
      </c>
      <c r="E3740">
        <v>39000</v>
      </c>
      <c r="F3740">
        <v>39000</v>
      </c>
      <c r="G3740" s="1">
        <v>3.2500000000000001E-2</v>
      </c>
      <c r="H3740" s="1">
        <v>3.2500000000000001E-2</v>
      </c>
      <c r="I3740" s="1">
        <v>3.2500000000000001E-2</v>
      </c>
      <c r="J3740" s="1">
        <v>0.70630000000000004</v>
      </c>
    </row>
    <row r="3741" spans="1:10" x14ac:dyDescent="0.2">
      <c r="A3741" t="str">
        <f>"27/07/2011"</f>
        <v>27/07/2011</v>
      </c>
      <c r="B3741">
        <v>1</v>
      </c>
      <c r="C3741">
        <v>36000</v>
      </c>
      <c r="D3741">
        <v>35571</v>
      </c>
      <c r="E3741">
        <v>35571</v>
      </c>
      <c r="F3741">
        <v>35571</v>
      </c>
      <c r="G3741" s="1">
        <v>3.2500000000000001E-2</v>
      </c>
      <c r="H3741" s="1">
        <v>3.2399999999999998E-2</v>
      </c>
      <c r="I3741" s="1">
        <v>3.2399999999999998E-2</v>
      </c>
      <c r="J3741" s="1">
        <v>1</v>
      </c>
    </row>
    <row r="3742" spans="1:10" x14ac:dyDescent="0.2">
      <c r="A3742" t="str">
        <f>"26/07/2011"</f>
        <v>26/07/2011</v>
      </c>
      <c r="B3742">
        <v>1</v>
      </c>
      <c r="C3742">
        <v>35000</v>
      </c>
      <c r="D3742">
        <v>68456</v>
      </c>
      <c r="E3742">
        <v>35000</v>
      </c>
      <c r="F3742">
        <v>35000</v>
      </c>
      <c r="G3742" s="1">
        <v>3.2500000000000001E-2</v>
      </c>
      <c r="H3742" s="1">
        <v>3.2399999999999998E-2</v>
      </c>
      <c r="I3742" s="1">
        <v>3.2399999999999998E-2</v>
      </c>
      <c r="J3742" s="1">
        <v>0.36770000000000003</v>
      </c>
    </row>
    <row r="3743" spans="1:10" x14ac:dyDescent="0.2">
      <c r="A3743" t="str">
        <f>"25/07/2011"</f>
        <v>25/07/2011</v>
      </c>
      <c r="B3743">
        <v>1</v>
      </c>
      <c r="C3743">
        <v>36000</v>
      </c>
      <c r="D3743">
        <v>64125</v>
      </c>
      <c r="E3743">
        <v>36000</v>
      </c>
      <c r="F3743">
        <v>36000</v>
      </c>
      <c r="G3743" s="1">
        <v>3.2500000000000001E-2</v>
      </c>
      <c r="H3743" s="1">
        <v>3.2500000000000001E-2</v>
      </c>
      <c r="I3743" s="1">
        <v>3.2500000000000001E-2</v>
      </c>
      <c r="J3743" s="1">
        <v>0.41710000000000003</v>
      </c>
    </row>
    <row r="3744" spans="1:10" x14ac:dyDescent="0.2">
      <c r="A3744" t="str">
        <f>"24/07/2011"</f>
        <v>24/07/2011</v>
      </c>
      <c r="B3744">
        <v>1</v>
      </c>
      <c r="C3744">
        <v>36000</v>
      </c>
      <c r="D3744">
        <v>78130</v>
      </c>
      <c r="E3744">
        <v>36000</v>
      </c>
      <c r="F3744">
        <v>36000</v>
      </c>
      <c r="G3744" s="1">
        <v>3.2500000000000001E-2</v>
      </c>
      <c r="H3744" s="1">
        <v>3.2500000000000001E-2</v>
      </c>
      <c r="I3744" s="1">
        <v>3.2500000000000001E-2</v>
      </c>
      <c r="J3744" s="1">
        <v>0.30159999999999998</v>
      </c>
    </row>
    <row r="3745" spans="1:10" x14ac:dyDescent="0.2">
      <c r="A3745" t="str">
        <f>"21/07/2011"</f>
        <v>21/07/2011</v>
      </c>
      <c r="B3745">
        <v>3</v>
      </c>
      <c r="C3745">
        <v>38000</v>
      </c>
      <c r="D3745">
        <v>99216</v>
      </c>
      <c r="E3745">
        <v>38000</v>
      </c>
      <c r="F3745">
        <v>38000</v>
      </c>
      <c r="G3745" s="1">
        <v>3.2500000000000001E-2</v>
      </c>
      <c r="H3745" s="1">
        <v>3.2399999999999998E-2</v>
      </c>
      <c r="I3745" s="1">
        <v>3.2399999999999998E-2</v>
      </c>
      <c r="J3745" s="1">
        <v>0.19600000000000001</v>
      </c>
    </row>
    <row r="3746" spans="1:10" x14ac:dyDescent="0.2">
      <c r="A3746" t="str">
        <f>"20/07/2011"</f>
        <v>20/07/2011</v>
      </c>
      <c r="B3746">
        <v>1</v>
      </c>
      <c r="C3746">
        <v>37000</v>
      </c>
      <c r="D3746">
        <v>111154</v>
      </c>
      <c r="E3746">
        <v>37000</v>
      </c>
      <c r="F3746">
        <v>37000</v>
      </c>
      <c r="G3746" s="1">
        <v>3.2500000000000001E-2</v>
      </c>
      <c r="H3746" s="1">
        <v>3.2399999999999998E-2</v>
      </c>
      <c r="I3746" s="1">
        <v>3.2399999999999998E-2</v>
      </c>
      <c r="J3746" s="1">
        <v>0.1966</v>
      </c>
    </row>
    <row r="3747" spans="1:10" x14ac:dyDescent="0.2">
      <c r="A3747" t="str">
        <f>"19/07/2011"</f>
        <v>19/07/2011</v>
      </c>
      <c r="B3747">
        <v>1</v>
      </c>
      <c r="C3747">
        <v>35000</v>
      </c>
      <c r="D3747">
        <v>111424</v>
      </c>
      <c r="E3747">
        <v>35000</v>
      </c>
      <c r="F3747">
        <v>35000</v>
      </c>
      <c r="G3747" s="1">
        <v>3.2500000000000001E-2</v>
      </c>
      <c r="H3747" s="1">
        <v>3.2500000000000001E-2</v>
      </c>
      <c r="I3747" s="1">
        <v>3.2500000000000001E-2</v>
      </c>
      <c r="J3747" s="1">
        <v>0.19220000000000001</v>
      </c>
    </row>
    <row r="3748" spans="1:10" x14ac:dyDescent="0.2">
      <c r="A3748" t="str">
        <f>"18/07/2011"</f>
        <v>18/07/2011</v>
      </c>
      <c r="B3748">
        <v>1</v>
      </c>
      <c r="C3748">
        <v>37000</v>
      </c>
      <c r="D3748">
        <v>109813</v>
      </c>
      <c r="E3748">
        <v>37000</v>
      </c>
      <c r="F3748">
        <v>37000</v>
      </c>
      <c r="G3748" s="1">
        <v>3.2500000000000001E-2</v>
      </c>
      <c r="H3748" s="1">
        <v>3.2500000000000001E-2</v>
      </c>
      <c r="I3748" s="1">
        <v>3.2500000000000001E-2</v>
      </c>
      <c r="J3748" s="1">
        <v>0.2051</v>
      </c>
    </row>
    <row r="3749" spans="1:10" x14ac:dyDescent="0.2">
      <c r="A3749" t="str">
        <f>"17/07/2011"</f>
        <v>17/07/2011</v>
      </c>
      <c r="B3749">
        <v>1</v>
      </c>
      <c r="C3749">
        <v>37000</v>
      </c>
      <c r="D3749">
        <v>102272</v>
      </c>
      <c r="E3749">
        <v>37000</v>
      </c>
      <c r="F3749">
        <v>37000</v>
      </c>
      <c r="G3749" s="1">
        <v>3.2500000000000001E-2</v>
      </c>
      <c r="H3749" s="1">
        <v>3.2500000000000001E-2</v>
      </c>
      <c r="I3749" s="1">
        <v>3.2500000000000001E-2</v>
      </c>
      <c r="J3749" s="1">
        <v>0.23080000000000001</v>
      </c>
    </row>
    <row r="3750" spans="1:10" x14ac:dyDescent="0.2">
      <c r="A3750" t="str">
        <f>"14/07/2011"</f>
        <v>14/07/2011</v>
      </c>
      <c r="B3750">
        <v>3</v>
      </c>
      <c r="C3750">
        <v>51000</v>
      </c>
      <c r="D3750">
        <v>134097</v>
      </c>
      <c r="E3750">
        <v>51000</v>
      </c>
      <c r="F3750">
        <v>51000</v>
      </c>
      <c r="G3750" s="1">
        <v>3.2500000000000001E-2</v>
      </c>
      <c r="H3750" s="1">
        <v>3.2500000000000001E-2</v>
      </c>
      <c r="I3750" s="1">
        <v>3.2500000000000001E-2</v>
      </c>
      <c r="J3750" s="1">
        <v>0.28789999999999999</v>
      </c>
    </row>
    <row r="3751" spans="1:10" x14ac:dyDescent="0.2">
      <c r="A3751" t="str">
        <f>"13/07/2011"</f>
        <v>13/07/2011</v>
      </c>
      <c r="B3751">
        <v>1</v>
      </c>
      <c r="C3751">
        <v>52000</v>
      </c>
      <c r="D3751">
        <v>138523</v>
      </c>
      <c r="E3751">
        <v>52000</v>
      </c>
      <c r="F3751">
        <v>52000</v>
      </c>
      <c r="G3751" s="1">
        <v>3.2500000000000001E-2</v>
      </c>
      <c r="H3751" s="1">
        <v>3.2500000000000001E-2</v>
      </c>
      <c r="I3751" s="1">
        <v>3.2500000000000001E-2</v>
      </c>
      <c r="J3751" s="1">
        <v>0.28399999999999997</v>
      </c>
    </row>
    <row r="3752" spans="1:10" x14ac:dyDescent="0.2">
      <c r="A3752" t="str">
        <f>"12/07/2011"</f>
        <v>12/07/2011</v>
      </c>
      <c r="B3752">
        <v>1</v>
      </c>
      <c r="C3752">
        <v>52000</v>
      </c>
      <c r="D3752">
        <v>132273</v>
      </c>
      <c r="E3752">
        <v>52000</v>
      </c>
      <c r="F3752">
        <v>52000</v>
      </c>
      <c r="G3752" s="1">
        <v>3.2500000000000001E-2</v>
      </c>
      <c r="H3752" s="1">
        <v>3.2500000000000001E-2</v>
      </c>
      <c r="I3752" s="1">
        <v>3.2500000000000001E-2</v>
      </c>
      <c r="J3752" s="1">
        <v>0.30420000000000003</v>
      </c>
    </row>
    <row r="3753" spans="1:10" x14ac:dyDescent="0.2">
      <c r="A3753" t="str">
        <f>"11/07/2011"</f>
        <v>11/07/2011</v>
      </c>
      <c r="B3753">
        <v>1</v>
      </c>
      <c r="C3753">
        <v>53000</v>
      </c>
      <c r="D3753">
        <v>124954</v>
      </c>
      <c r="E3753">
        <v>53000</v>
      </c>
      <c r="F3753">
        <v>53000</v>
      </c>
      <c r="G3753" s="1">
        <v>3.2500000000000001E-2</v>
      </c>
      <c r="H3753" s="1">
        <v>3.2500000000000001E-2</v>
      </c>
      <c r="I3753" s="1">
        <v>3.2500000000000001E-2</v>
      </c>
      <c r="J3753" s="1">
        <v>0.32850000000000001</v>
      </c>
    </row>
    <row r="3754" spans="1:10" x14ac:dyDescent="0.2">
      <c r="A3754" t="str">
        <f>"10/07/2011"</f>
        <v>10/07/2011</v>
      </c>
      <c r="B3754">
        <v>1</v>
      </c>
      <c r="C3754">
        <v>52000</v>
      </c>
      <c r="D3754">
        <v>115880</v>
      </c>
      <c r="E3754">
        <v>52000</v>
      </c>
      <c r="F3754">
        <v>52000</v>
      </c>
      <c r="G3754" s="1">
        <v>3.2500000000000001E-2</v>
      </c>
      <c r="H3754" s="1">
        <v>3.2500000000000001E-2</v>
      </c>
      <c r="I3754" s="1">
        <v>3.2500000000000001E-2</v>
      </c>
      <c r="J3754" s="1">
        <v>0.3619</v>
      </c>
    </row>
    <row r="3755" spans="1:10" x14ac:dyDescent="0.2">
      <c r="A3755" t="str">
        <f>"07/07/2011"</f>
        <v>07/07/2011</v>
      </c>
      <c r="B3755">
        <v>3</v>
      </c>
      <c r="C3755">
        <v>52000</v>
      </c>
      <c r="D3755">
        <v>101028</v>
      </c>
      <c r="E3755">
        <v>52000</v>
      </c>
      <c r="F3755">
        <v>52000</v>
      </c>
      <c r="G3755" s="1">
        <v>3.2500000000000001E-2</v>
      </c>
      <c r="H3755" s="1">
        <v>3.2500000000000001E-2</v>
      </c>
      <c r="I3755" s="1">
        <v>3.2500000000000001E-2</v>
      </c>
      <c r="J3755" s="1">
        <v>0.43540000000000001</v>
      </c>
    </row>
    <row r="3756" spans="1:10" x14ac:dyDescent="0.2">
      <c r="A3756" t="str">
        <f>"06/07/2011"</f>
        <v>06/07/2011</v>
      </c>
      <c r="B3756">
        <v>1</v>
      </c>
      <c r="C3756">
        <v>58000</v>
      </c>
      <c r="D3756">
        <v>118468</v>
      </c>
      <c r="E3756">
        <v>58000</v>
      </c>
      <c r="F3756">
        <v>58000</v>
      </c>
      <c r="G3756" s="1">
        <v>3.2500000000000001E-2</v>
      </c>
      <c r="H3756" s="1">
        <v>3.2500000000000001E-2</v>
      </c>
      <c r="I3756" s="1">
        <v>3.2500000000000001E-2</v>
      </c>
      <c r="J3756" s="1">
        <v>0.40660000000000002</v>
      </c>
    </row>
    <row r="3757" spans="1:10" x14ac:dyDescent="0.2">
      <c r="A3757" t="str">
        <f>"05/07/2011"</f>
        <v>05/07/2011</v>
      </c>
      <c r="B3757">
        <v>1</v>
      </c>
      <c r="C3757">
        <v>54000</v>
      </c>
      <c r="D3757">
        <v>94643</v>
      </c>
      <c r="E3757">
        <v>54000</v>
      </c>
      <c r="F3757">
        <v>54000</v>
      </c>
      <c r="G3757" s="1">
        <v>3.2500000000000001E-2</v>
      </c>
      <c r="H3757" s="1">
        <v>3.2500000000000001E-2</v>
      </c>
      <c r="I3757" s="1">
        <v>3.2500000000000001E-2</v>
      </c>
      <c r="J3757" s="1">
        <v>0.47760000000000002</v>
      </c>
    </row>
    <row r="3758" spans="1:10" x14ac:dyDescent="0.2">
      <c r="A3758" t="str">
        <f>"04/07/2011"</f>
        <v>04/07/2011</v>
      </c>
      <c r="B3758">
        <v>1</v>
      </c>
      <c r="C3758">
        <v>54000</v>
      </c>
      <c r="D3758">
        <v>84329</v>
      </c>
      <c r="E3758">
        <v>54000</v>
      </c>
      <c r="F3758">
        <v>54000</v>
      </c>
      <c r="G3758" s="1">
        <v>3.2500000000000001E-2</v>
      </c>
      <c r="H3758" s="1">
        <v>3.2500000000000001E-2</v>
      </c>
      <c r="I3758" s="1">
        <v>3.2500000000000001E-2</v>
      </c>
      <c r="J3758" s="1">
        <v>0.56440000000000001</v>
      </c>
    </row>
    <row r="3759" spans="1:10" x14ac:dyDescent="0.2">
      <c r="A3759" t="str">
        <f>"03/07/2011"</f>
        <v>03/07/2011</v>
      </c>
      <c r="B3759">
        <v>1</v>
      </c>
      <c r="C3759">
        <v>53000</v>
      </c>
      <c r="D3759">
        <v>73605</v>
      </c>
      <c r="E3759">
        <v>53000</v>
      </c>
      <c r="F3759">
        <v>53000</v>
      </c>
      <c r="G3759" s="1">
        <v>3.2500000000000001E-2</v>
      </c>
      <c r="H3759" s="1">
        <v>3.2500000000000001E-2</v>
      </c>
      <c r="I3759" s="1">
        <v>3.2500000000000001E-2</v>
      </c>
      <c r="J3759" s="1">
        <v>0.66100000000000003</v>
      </c>
    </row>
    <row r="3760" spans="1:10" x14ac:dyDescent="0.2">
      <c r="A3760" t="str">
        <f>"30/06/2011"</f>
        <v>30/06/2011</v>
      </c>
      <c r="B3760">
        <v>3</v>
      </c>
      <c r="C3760">
        <v>47000</v>
      </c>
      <c r="D3760">
        <v>57590</v>
      </c>
      <c r="E3760">
        <v>47000</v>
      </c>
      <c r="F3760">
        <v>47000</v>
      </c>
      <c r="G3760" s="1">
        <v>3.2500000000000001E-2</v>
      </c>
      <c r="H3760" s="1">
        <v>3.2500000000000001E-2</v>
      </c>
      <c r="I3760" s="1">
        <v>3.2500000000000001E-2</v>
      </c>
      <c r="J3760" s="1">
        <v>0.76200000000000001</v>
      </c>
    </row>
    <row r="3761" spans="1:10" x14ac:dyDescent="0.2">
      <c r="A3761" t="str">
        <f>"29/06/2011"</f>
        <v>29/06/2011</v>
      </c>
      <c r="B3761">
        <v>1</v>
      </c>
      <c r="C3761">
        <v>40000</v>
      </c>
      <c r="D3761">
        <v>40044</v>
      </c>
      <c r="E3761">
        <v>40000</v>
      </c>
      <c r="F3761">
        <v>40000</v>
      </c>
      <c r="G3761" s="1">
        <v>3.2500000000000001E-2</v>
      </c>
      <c r="H3761" s="1">
        <v>3.2399999999999998E-2</v>
      </c>
      <c r="I3761" s="1">
        <v>3.2399999999999998E-2</v>
      </c>
      <c r="J3761" s="1">
        <v>0.99819999999999998</v>
      </c>
    </row>
    <row r="3762" spans="1:10" x14ac:dyDescent="0.2">
      <c r="A3762" t="str">
        <f>"28/06/2011"</f>
        <v>28/06/2011</v>
      </c>
      <c r="B3762">
        <v>1</v>
      </c>
      <c r="C3762">
        <v>39000</v>
      </c>
      <c r="D3762">
        <v>95974</v>
      </c>
      <c r="E3762">
        <v>39000</v>
      </c>
      <c r="F3762">
        <v>39000</v>
      </c>
      <c r="G3762" s="1">
        <v>3.2500000000000001E-2</v>
      </c>
      <c r="H3762" s="1">
        <v>3.2399999999999998E-2</v>
      </c>
      <c r="I3762" s="1">
        <v>3.2399999999999998E-2</v>
      </c>
      <c r="J3762" s="1">
        <v>0.15590000000000001</v>
      </c>
    </row>
    <row r="3763" spans="1:10" x14ac:dyDescent="0.2">
      <c r="A3763" t="str">
        <f>"27/06/2011"</f>
        <v>27/06/2011</v>
      </c>
      <c r="B3763">
        <v>1</v>
      </c>
      <c r="C3763">
        <v>38000</v>
      </c>
      <c r="D3763">
        <v>99525</v>
      </c>
      <c r="E3763">
        <v>38000</v>
      </c>
      <c r="F3763">
        <v>38000</v>
      </c>
      <c r="G3763" s="1">
        <v>3.2500000000000001E-2</v>
      </c>
      <c r="H3763" s="1">
        <v>3.2399999999999998E-2</v>
      </c>
      <c r="I3763" s="1">
        <v>3.2399999999999998E-2</v>
      </c>
      <c r="J3763" s="1">
        <v>0.18290000000000001</v>
      </c>
    </row>
    <row r="3764" spans="1:10" x14ac:dyDescent="0.2">
      <c r="A3764" t="str">
        <f>"26/06/2011"</f>
        <v>26/06/2011</v>
      </c>
      <c r="B3764">
        <v>1</v>
      </c>
      <c r="C3764">
        <v>38000</v>
      </c>
      <c r="D3764">
        <v>111086</v>
      </c>
      <c r="E3764">
        <v>38000</v>
      </c>
      <c r="F3764">
        <v>38000</v>
      </c>
      <c r="G3764" s="1">
        <v>3.2500000000000001E-2</v>
      </c>
      <c r="H3764" s="1">
        <v>3.2399999999999998E-2</v>
      </c>
      <c r="I3764" s="1">
        <v>3.2399999999999998E-2</v>
      </c>
      <c r="J3764" s="1">
        <v>0.2311</v>
      </c>
    </row>
    <row r="3765" spans="1:10" x14ac:dyDescent="0.2">
      <c r="A3765" t="str">
        <f>"23/06/2011"</f>
        <v>23/06/2011</v>
      </c>
      <c r="B3765">
        <v>3</v>
      </c>
      <c r="C3765">
        <v>38000</v>
      </c>
      <c r="D3765">
        <v>109980</v>
      </c>
      <c r="E3765">
        <v>38000</v>
      </c>
      <c r="F3765">
        <v>38000</v>
      </c>
      <c r="G3765" s="1">
        <v>3.2500000000000001E-2</v>
      </c>
      <c r="H3765" s="1">
        <v>3.2500000000000001E-2</v>
      </c>
      <c r="I3765" s="1">
        <v>3.2500000000000001E-2</v>
      </c>
      <c r="J3765" s="1">
        <v>0.24149999999999999</v>
      </c>
    </row>
    <row r="3766" spans="1:10" x14ac:dyDescent="0.2">
      <c r="A3766" t="str">
        <f>"22/06/2011"</f>
        <v>22/06/2011</v>
      </c>
      <c r="B3766">
        <v>1</v>
      </c>
      <c r="C3766">
        <v>38000</v>
      </c>
      <c r="D3766">
        <v>107629</v>
      </c>
      <c r="E3766">
        <v>38000</v>
      </c>
      <c r="F3766">
        <v>38000</v>
      </c>
      <c r="G3766" s="1">
        <v>3.2500000000000001E-2</v>
      </c>
      <c r="H3766" s="1">
        <v>3.2500000000000001E-2</v>
      </c>
      <c r="I3766" s="1">
        <v>3.2500000000000001E-2</v>
      </c>
      <c r="J3766" s="1">
        <v>0.24010000000000001</v>
      </c>
    </row>
    <row r="3767" spans="1:10" x14ac:dyDescent="0.2">
      <c r="A3767" t="str">
        <f>"21/06/2011"</f>
        <v>21/06/2011</v>
      </c>
      <c r="B3767">
        <v>1</v>
      </c>
      <c r="C3767">
        <v>38000</v>
      </c>
      <c r="D3767">
        <v>100027</v>
      </c>
      <c r="E3767">
        <v>38000</v>
      </c>
      <c r="F3767">
        <v>38000</v>
      </c>
      <c r="G3767" s="1">
        <v>3.2500000000000001E-2</v>
      </c>
      <c r="H3767" s="1">
        <v>3.2500000000000001E-2</v>
      </c>
      <c r="I3767" s="1">
        <v>3.2500000000000001E-2</v>
      </c>
      <c r="J3767" s="1">
        <v>0.27650000000000002</v>
      </c>
    </row>
    <row r="3768" spans="1:10" x14ac:dyDescent="0.2">
      <c r="A3768" t="str">
        <f>"20/06/2011"</f>
        <v>20/06/2011</v>
      </c>
      <c r="B3768">
        <v>1</v>
      </c>
      <c r="C3768">
        <v>40000</v>
      </c>
      <c r="D3768">
        <v>89802</v>
      </c>
      <c r="E3768">
        <v>40000</v>
      </c>
      <c r="F3768">
        <v>40000</v>
      </c>
      <c r="G3768" s="1">
        <v>3.2500000000000001E-2</v>
      </c>
      <c r="H3768" s="1">
        <v>3.2500000000000001E-2</v>
      </c>
      <c r="I3768" s="1">
        <v>3.2500000000000001E-2</v>
      </c>
      <c r="J3768" s="1">
        <v>0.35709999999999997</v>
      </c>
    </row>
    <row r="3769" spans="1:10" x14ac:dyDescent="0.2">
      <c r="A3769" t="str">
        <f>"19/06/2011"</f>
        <v>19/06/2011</v>
      </c>
      <c r="B3769">
        <v>1</v>
      </c>
      <c r="C3769">
        <v>41000</v>
      </c>
      <c r="D3769">
        <v>80139</v>
      </c>
      <c r="E3769">
        <v>41000</v>
      </c>
      <c r="F3769">
        <v>41000</v>
      </c>
      <c r="G3769" s="1">
        <v>3.2500000000000001E-2</v>
      </c>
      <c r="H3769" s="1">
        <v>3.2500000000000001E-2</v>
      </c>
      <c r="I3769" s="1">
        <v>3.2500000000000001E-2</v>
      </c>
      <c r="J3769" s="1">
        <v>0.41789999999999999</v>
      </c>
    </row>
    <row r="3770" spans="1:10" x14ac:dyDescent="0.2">
      <c r="A3770" t="str">
        <f>"16/06/2011"</f>
        <v>16/06/2011</v>
      </c>
      <c r="B3770">
        <v>3</v>
      </c>
      <c r="C3770">
        <v>42000</v>
      </c>
      <c r="D3770">
        <v>68123</v>
      </c>
      <c r="E3770">
        <v>42000</v>
      </c>
      <c r="F3770">
        <v>42000</v>
      </c>
      <c r="G3770" s="1">
        <v>3.2500000000000001E-2</v>
      </c>
      <c r="H3770" s="1">
        <v>3.2500000000000001E-2</v>
      </c>
      <c r="I3770" s="1">
        <v>3.2500000000000001E-2</v>
      </c>
      <c r="J3770" s="1">
        <v>0.53459999999999996</v>
      </c>
    </row>
    <row r="3771" spans="1:10" x14ac:dyDescent="0.2">
      <c r="A3771" t="str">
        <f>"15/06/2011"</f>
        <v>15/06/2011</v>
      </c>
      <c r="B3771">
        <v>1</v>
      </c>
      <c r="C3771">
        <v>50000</v>
      </c>
      <c r="D3771">
        <v>82505</v>
      </c>
      <c r="E3771">
        <v>50000</v>
      </c>
      <c r="F3771">
        <v>50000</v>
      </c>
      <c r="G3771" s="1">
        <v>3.2500000000000001E-2</v>
      </c>
      <c r="H3771" s="1">
        <v>3.2500000000000001E-2</v>
      </c>
      <c r="I3771" s="1">
        <v>3.2500000000000001E-2</v>
      </c>
      <c r="J3771" s="1">
        <v>0.50609999999999999</v>
      </c>
    </row>
    <row r="3772" spans="1:10" x14ac:dyDescent="0.2">
      <c r="A3772" t="str">
        <f>"14/06/2011"</f>
        <v>14/06/2011</v>
      </c>
      <c r="B3772">
        <v>1</v>
      </c>
      <c r="C3772">
        <v>50000</v>
      </c>
      <c r="D3772">
        <v>75173</v>
      </c>
      <c r="E3772">
        <v>50000</v>
      </c>
      <c r="F3772">
        <v>50000</v>
      </c>
      <c r="G3772" s="1">
        <v>3.2500000000000001E-2</v>
      </c>
      <c r="H3772" s="1">
        <v>3.2500000000000001E-2</v>
      </c>
      <c r="I3772" s="1">
        <v>3.2500000000000001E-2</v>
      </c>
      <c r="J3772" s="1">
        <v>0.57299999999999995</v>
      </c>
    </row>
    <row r="3773" spans="1:10" x14ac:dyDescent="0.2">
      <c r="A3773" t="str">
        <f>"13/06/2011"</f>
        <v>13/06/2011</v>
      </c>
      <c r="B3773">
        <v>1</v>
      </c>
      <c r="C3773">
        <v>52000</v>
      </c>
      <c r="D3773">
        <v>64561</v>
      </c>
      <c r="E3773">
        <v>52000</v>
      </c>
      <c r="F3773">
        <v>52000</v>
      </c>
      <c r="G3773" s="1">
        <v>3.2500000000000001E-2</v>
      </c>
      <c r="H3773" s="1">
        <v>3.2500000000000001E-2</v>
      </c>
      <c r="I3773" s="1">
        <v>3.2500000000000001E-2</v>
      </c>
      <c r="J3773" s="1">
        <v>0.76529999999999998</v>
      </c>
    </row>
    <row r="3774" spans="1:10" x14ac:dyDescent="0.2">
      <c r="A3774" t="str">
        <f>"12/06/2011"</f>
        <v>12/06/2011</v>
      </c>
      <c r="B3774">
        <v>1</v>
      </c>
      <c r="C3774">
        <v>53000</v>
      </c>
      <c r="D3774">
        <v>72926</v>
      </c>
      <c r="E3774">
        <v>53000</v>
      </c>
      <c r="F3774">
        <v>53000</v>
      </c>
      <c r="G3774" s="1">
        <v>3.2500000000000001E-2</v>
      </c>
      <c r="H3774" s="1">
        <v>3.2500000000000001E-2</v>
      </c>
      <c r="I3774" s="1">
        <v>3.2500000000000001E-2</v>
      </c>
      <c r="J3774" s="1">
        <v>0.68359999999999999</v>
      </c>
    </row>
    <row r="3775" spans="1:10" x14ac:dyDescent="0.2">
      <c r="A3775" t="str">
        <f>"09/06/2011"</f>
        <v>09/06/2011</v>
      </c>
      <c r="B3775">
        <v>3</v>
      </c>
      <c r="C3775">
        <v>57000</v>
      </c>
      <c r="D3775">
        <v>71744</v>
      </c>
      <c r="E3775">
        <v>57000</v>
      </c>
      <c r="F3775">
        <v>57000</v>
      </c>
      <c r="G3775" s="1">
        <v>3.2500000000000001E-2</v>
      </c>
      <c r="H3775" s="1">
        <v>3.2500000000000001E-2</v>
      </c>
      <c r="I3775" s="1">
        <v>3.2500000000000001E-2</v>
      </c>
      <c r="J3775" s="1">
        <v>0.74039999999999995</v>
      </c>
    </row>
    <row r="3776" spans="1:10" x14ac:dyDescent="0.2">
      <c r="A3776" t="str">
        <f>"06/06/2011"</f>
        <v>06/06/2011</v>
      </c>
      <c r="B3776">
        <v>3</v>
      </c>
      <c r="C3776">
        <v>57000</v>
      </c>
      <c r="D3776">
        <v>76280</v>
      </c>
      <c r="E3776">
        <v>57000</v>
      </c>
      <c r="F3776">
        <v>57000</v>
      </c>
      <c r="G3776" s="1">
        <v>3.2500000000000001E-2</v>
      </c>
      <c r="H3776" s="1">
        <v>3.2500000000000001E-2</v>
      </c>
      <c r="I3776" s="1">
        <v>3.2500000000000001E-2</v>
      </c>
      <c r="J3776" s="1">
        <v>0.69689999999999996</v>
      </c>
    </row>
    <row r="3777" spans="1:10" x14ac:dyDescent="0.2">
      <c r="A3777" t="str">
        <f>"06/06/2011"</f>
        <v>06/06/2011</v>
      </c>
      <c r="B3777">
        <v>1</v>
      </c>
      <c r="C3777">
        <v>7000</v>
      </c>
      <c r="D3777">
        <v>8850</v>
      </c>
      <c r="E3777">
        <v>7000</v>
      </c>
      <c r="F3777">
        <v>7000</v>
      </c>
      <c r="G3777" s="1">
        <v>3.2500000000000001E-2</v>
      </c>
      <c r="H3777" s="1">
        <v>3.2500000000000001E-2</v>
      </c>
      <c r="I3777" s="1">
        <v>3.2500000000000001E-2</v>
      </c>
      <c r="J3777" s="1">
        <v>0.74480000000000002</v>
      </c>
    </row>
    <row r="3778" spans="1:10" x14ac:dyDescent="0.2">
      <c r="A3778" t="str">
        <f>"05/06/2011"</f>
        <v>05/06/2011</v>
      </c>
      <c r="B3778">
        <v>1</v>
      </c>
      <c r="C3778">
        <v>62000</v>
      </c>
      <c r="D3778">
        <v>88798</v>
      </c>
      <c r="E3778">
        <v>62000</v>
      </c>
      <c r="F3778">
        <v>62000</v>
      </c>
      <c r="G3778" s="1">
        <v>3.2500000000000001E-2</v>
      </c>
      <c r="H3778" s="1">
        <v>3.2500000000000001E-2</v>
      </c>
      <c r="I3778" s="1">
        <v>3.2500000000000001E-2</v>
      </c>
      <c r="J3778" s="1">
        <v>0.64739999999999998</v>
      </c>
    </row>
    <row r="3779" spans="1:10" x14ac:dyDescent="0.2">
      <c r="A3779" t="str">
        <f>"02/06/2011"</f>
        <v>02/06/2011</v>
      </c>
      <c r="B3779">
        <v>3</v>
      </c>
      <c r="C3779">
        <v>61000</v>
      </c>
      <c r="D3779">
        <v>83097</v>
      </c>
      <c r="E3779">
        <v>61000</v>
      </c>
      <c r="F3779">
        <v>61000</v>
      </c>
      <c r="G3779" s="1">
        <v>3.2500000000000001E-2</v>
      </c>
      <c r="H3779" s="1">
        <v>3.2500000000000001E-2</v>
      </c>
      <c r="I3779" s="1">
        <v>3.2500000000000001E-2</v>
      </c>
      <c r="J3779" s="1">
        <v>0.68269999999999997</v>
      </c>
    </row>
    <row r="3780" spans="1:10" x14ac:dyDescent="0.2">
      <c r="A3780" t="str">
        <f>"01/06/2011"</f>
        <v>01/06/2011</v>
      </c>
      <c r="B3780">
        <v>1</v>
      </c>
      <c r="C3780">
        <v>66000</v>
      </c>
      <c r="D3780">
        <v>88050</v>
      </c>
      <c r="E3780">
        <v>66000</v>
      </c>
      <c r="F3780">
        <v>66000</v>
      </c>
      <c r="G3780" s="1">
        <v>3.2500000000000001E-2</v>
      </c>
      <c r="H3780" s="1">
        <v>3.2500000000000001E-2</v>
      </c>
      <c r="I3780" s="1">
        <v>3.2500000000000001E-2</v>
      </c>
      <c r="J3780" s="1">
        <v>0.69869999999999999</v>
      </c>
    </row>
    <row r="3781" spans="1:10" x14ac:dyDescent="0.2">
      <c r="A3781" t="str">
        <f>"31/05/2011"</f>
        <v>31/05/2011</v>
      </c>
      <c r="B3781">
        <v>1</v>
      </c>
      <c r="C3781">
        <v>51000</v>
      </c>
      <c r="D3781">
        <v>67546</v>
      </c>
      <c r="E3781">
        <v>51000</v>
      </c>
      <c r="F3781">
        <v>51000</v>
      </c>
      <c r="G3781" s="1">
        <v>3.2500000000000001E-2</v>
      </c>
      <c r="H3781" s="1">
        <v>3.2500000000000001E-2</v>
      </c>
      <c r="I3781" s="1">
        <v>3.2500000000000001E-2</v>
      </c>
      <c r="J3781" s="1">
        <v>0.70469999999999999</v>
      </c>
    </row>
    <row r="3782" spans="1:10" x14ac:dyDescent="0.2">
      <c r="A3782" t="str">
        <f>"30/05/2011"</f>
        <v>30/05/2011</v>
      </c>
      <c r="B3782">
        <v>1</v>
      </c>
      <c r="C3782">
        <v>49000</v>
      </c>
      <c r="D3782">
        <v>68333</v>
      </c>
      <c r="E3782">
        <v>49000</v>
      </c>
      <c r="F3782">
        <v>49000</v>
      </c>
      <c r="G3782" s="1">
        <v>3.2500000000000001E-2</v>
      </c>
      <c r="H3782" s="1">
        <v>3.2500000000000001E-2</v>
      </c>
      <c r="I3782" s="1">
        <v>3.2500000000000001E-2</v>
      </c>
      <c r="J3782" s="1">
        <v>0.66080000000000005</v>
      </c>
    </row>
    <row r="3783" spans="1:10" x14ac:dyDescent="0.2">
      <c r="A3783" t="str">
        <f>"29/05/2011"</f>
        <v>29/05/2011</v>
      </c>
      <c r="B3783">
        <v>1</v>
      </c>
      <c r="C3783">
        <v>49000</v>
      </c>
      <c r="D3783">
        <v>65791</v>
      </c>
      <c r="E3783">
        <v>49000</v>
      </c>
      <c r="F3783">
        <v>49000</v>
      </c>
      <c r="G3783" s="1">
        <v>3.2500000000000001E-2</v>
      </c>
      <c r="H3783" s="1">
        <v>3.2500000000000001E-2</v>
      </c>
      <c r="I3783" s="1">
        <v>3.2500000000000001E-2</v>
      </c>
      <c r="J3783" s="1">
        <v>0.70069999999999999</v>
      </c>
    </row>
    <row r="3784" spans="1:10" x14ac:dyDescent="0.2">
      <c r="A3784" t="str">
        <f>"26/05/2011"</f>
        <v>26/05/2011</v>
      </c>
      <c r="B3784">
        <v>3</v>
      </c>
      <c r="C3784">
        <v>46000</v>
      </c>
      <c r="D3784">
        <v>56270</v>
      </c>
      <c r="E3784">
        <v>46000</v>
      </c>
      <c r="F3784">
        <v>46000</v>
      </c>
      <c r="G3784" s="1">
        <v>3.2500000000000001E-2</v>
      </c>
      <c r="H3784" s="1">
        <v>3.2500000000000001E-2</v>
      </c>
      <c r="I3784" s="1">
        <v>3.2500000000000001E-2</v>
      </c>
      <c r="J3784" s="1">
        <v>0.77059999999999995</v>
      </c>
    </row>
    <row r="3785" spans="1:10" x14ac:dyDescent="0.2">
      <c r="A3785" t="str">
        <f>"25/05/2011"</f>
        <v>25/05/2011</v>
      </c>
      <c r="B3785">
        <v>1</v>
      </c>
      <c r="C3785">
        <v>40000</v>
      </c>
      <c r="D3785">
        <v>39483</v>
      </c>
      <c r="E3785">
        <v>39483</v>
      </c>
      <c r="F3785">
        <v>39483</v>
      </c>
      <c r="G3785" s="1">
        <v>0.03</v>
      </c>
      <c r="H3785" s="1">
        <v>2.9899999999999999E-2</v>
      </c>
      <c r="I3785" s="1">
        <v>2.9899999999999999E-2</v>
      </c>
      <c r="J3785" s="1">
        <v>1</v>
      </c>
    </row>
    <row r="3786" spans="1:10" x14ac:dyDescent="0.2">
      <c r="A3786" t="str">
        <f>"24/05/2011"</f>
        <v>24/05/2011</v>
      </c>
      <c r="B3786">
        <v>1</v>
      </c>
      <c r="C3786">
        <v>38000</v>
      </c>
      <c r="D3786">
        <v>80863</v>
      </c>
      <c r="E3786">
        <v>38000</v>
      </c>
      <c r="F3786">
        <v>38000</v>
      </c>
      <c r="G3786" s="1">
        <v>0.03</v>
      </c>
      <c r="H3786" s="1">
        <v>2.9899999999999999E-2</v>
      </c>
      <c r="I3786" s="1">
        <v>2.9899999999999999E-2</v>
      </c>
      <c r="J3786" s="1">
        <v>0.2427</v>
      </c>
    </row>
    <row r="3787" spans="1:10" x14ac:dyDescent="0.2">
      <c r="A3787" t="str">
        <f>"23/05/2011"</f>
        <v>23/05/2011</v>
      </c>
      <c r="B3787">
        <v>1</v>
      </c>
      <c r="C3787">
        <v>40000</v>
      </c>
      <c r="D3787">
        <v>88673</v>
      </c>
      <c r="E3787">
        <v>40000</v>
      </c>
      <c r="F3787">
        <v>40000</v>
      </c>
      <c r="G3787" s="1">
        <v>0.03</v>
      </c>
      <c r="H3787" s="1">
        <v>2.9899999999999999E-2</v>
      </c>
      <c r="I3787" s="1">
        <v>2.9899999999999999E-2</v>
      </c>
      <c r="J3787" s="1">
        <v>0.253</v>
      </c>
    </row>
    <row r="3788" spans="1:10" x14ac:dyDescent="0.2">
      <c r="A3788" t="str">
        <f>"22/05/2011"</f>
        <v>22/05/2011</v>
      </c>
      <c r="B3788">
        <v>1</v>
      </c>
      <c r="C3788">
        <v>40000</v>
      </c>
      <c r="D3788">
        <v>87954</v>
      </c>
      <c r="E3788">
        <v>40000</v>
      </c>
      <c r="F3788">
        <v>40000</v>
      </c>
      <c r="G3788" s="1">
        <v>0.03</v>
      </c>
      <c r="H3788" s="1">
        <v>2.9899999999999999E-2</v>
      </c>
      <c r="I3788" s="1">
        <v>2.9899999999999999E-2</v>
      </c>
      <c r="J3788" s="1">
        <v>0.27039999999999997</v>
      </c>
    </row>
    <row r="3789" spans="1:10" x14ac:dyDescent="0.2">
      <c r="A3789" t="str">
        <f>"19/05/2011"</f>
        <v>19/05/2011</v>
      </c>
      <c r="B3789">
        <v>3</v>
      </c>
      <c r="C3789">
        <v>42000</v>
      </c>
      <c r="D3789">
        <v>97765</v>
      </c>
      <c r="E3789">
        <v>42000</v>
      </c>
      <c r="F3789">
        <v>42000</v>
      </c>
      <c r="G3789" s="1">
        <v>0.03</v>
      </c>
      <c r="H3789" s="1">
        <v>0.03</v>
      </c>
      <c r="I3789" s="1">
        <v>0.03</v>
      </c>
      <c r="J3789" s="1">
        <v>0.29149999999999998</v>
      </c>
    </row>
    <row r="3790" spans="1:10" x14ac:dyDescent="0.2">
      <c r="A3790" t="str">
        <f>"18/05/2011"</f>
        <v>18/05/2011</v>
      </c>
      <c r="B3790">
        <v>1</v>
      </c>
      <c r="C3790">
        <v>42000</v>
      </c>
      <c r="D3790">
        <v>111610</v>
      </c>
      <c r="E3790">
        <v>42000</v>
      </c>
      <c r="F3790">
        <v>42000</v>
      </c>
      <c r="G3790" s="1">
        <v>0.03</v>
      </c>
      <c r="H3790" s="1">
        <v>0.03</v>
      </c>
      <c r="I3790" s="1">
        <v>0.03</v>
      </c>
      <c r="J3790" s="1">
        <v>0.27900000000000003</v>
      </c>
    </row>
    <row r="3791" spans="1:10" x14ac:dyDescent="0.2">
      <c r="A3791" t="str">
        <f>"17/05/2011"</f>
        <v>17/05/2011</v>
      </c>
      <c r="B3791">
        <v>1</v>
      </c>
      <c r="C3791">
        <v>42000</v>
      </c>
      <c r="D3791">
        <v>99770</v>
      </c>
      <c r="E3791">
        <v>42000</v>
      </c>
      <c r="F3791">
        <v>42000</v>
      </c>
      <c r="G3791" s="1">
        <v>0.03</v>
      </c>
      <c r="H3791" s="1">
        <v>0.03</v>
      </c>
      <c r="I3791" s="1">
        <v>0.03</v>
      </c>
      <c r="J3791" s="1">
        <v>0.3347</v>
      </c>
    </row>
    <row r="3792" spans="1:10" x14ac:dyDescent="0.2">
      <c r="A3792" t="str">
        <f>"16/05/2011"</f>
        <v>16/05/2011</v>
      </c>
      <c r="B3792">
        <v>1</v>
      </c>
      <c r="C3792">
        <v>43000</v>
      </c>
      <c r="D3792">
        <v>89817</v>
      </c>
      <c r="E3792">
        <v>43000</v>
      </c>
      <c r="F3792">
        <v>43000</v>
      </c>
      <c r="G3792" s="1">
        <v>0.03</v>
      </c>
      <c r="H3792" s="1">
        <v>0.03</v>
      </c>
      <c r="I3792" s="1">
        <v>0.03</v>
      </c>
      <c r="J3792" s="1">
        <v>0.39979999999999999</v>
      </c>
    </row>
    <row r="3793" spans="1:10" x14ac:dyDescent="0.2">
      <c r="A3793" t="str">
        <f>"15/05/2011"</f>
        <v>15/05/2011</v>
      </c>
      <c r="B3793">
        <v>1</v>
      </c>
      <c r="C3793">
        <v>57000</v>
      </c>
      <c r="D3793">
        <v>98777</v>
      </c>
      <c r="E3793">
        <v>57000</v>
      </c>
      <c r="F3793">
        <v>57000</v>
      </c>
      <c r="G3793" s="1">
        <v>0.03</v>
      </c>
      <c r="H3793" s="1">
        <v>0.03</v>
      </c>
      <c r="I3793" s="1">
        <v>0.03</v>
      </c>
      <c r="J3793" s="1">
        <v>0.49590000000000001</v>
      </c>
    </row>
    <row r="3794" spans="1:10" x14ac:dyDescent="0.2">
      <c r="A3794" t="str">
        <f>"12/05/2011"</f>
        <v>12/05/2011</v>
      </c>
      <c r="B3794">
        <v>3</v>
      </c>
      <c r="C3794">
        <v>57000</v>
      </c>
      <c r="D3794">
        <v>96110</v>
      </c>
      <c r="E3794">
        <v>57000</v>
      </c>
      <c r="F3794">
        <v>57000</v>
      </c>
      <c r="G3794" s="1">
        <v>0.03</v>
      </c>
      <c r="H3794" s="1">
        <v>0.03</v>
      </c>
      <c r="I3794" s="1">
        <v>0.03</v>
      </c>
      <c r="J3794" s="1">
        <v>0.53029999999999999</v>
      </c>
    </row>
    <row r="3795" spans="1:10" x14ac:dyDescent="0.2">
      <c r="A3795" t="str">
        <f>"11/05/2011"</f>
        <v>11/05/2011</v>
      </c>
      <c r="B3795">
        <v>1</v>
      </c>
      <c r="C3795">
        <v>57000</v>
      </c>
      <c r="D3795">
        <v>99798</v>
      </c>
      <c r="E3795">
        <v>57000</v>
      </c>
      <c r="F3795">
        <v>57000</v>
      </c>
      <c r="G3795" s="1">
        <v>0.03</v>
      </c>
      <c r="H3795" s="1">
        <v>0.03</v>
      </c>
      <c r="I3795" s="1">
        <v>0.03</v>
      </c>
      <c r="J3795" s="1">
        <v>0.50280000000000002</v>
      </c>
    </row>
    <row r="3796" spans="1:10" x14ac:dyDescent="0.2">
      <c r="A3796" t="str">
        <f>"08/05/2011"</f>
        <v>08/05/2011</v>
      </c>
      <c r="B3796">
        <v>3</v>
      </c>
      <c r="C3796">
        <v>57000</v>
      </c>
      <c r="D3796">
        <v>95024</v>
      </c>
      <c r="E3796">
        <v>57000</v>
      </c>
      <c r="F3796">
        <v>57000</v>
      </c>
      <c r="G3796" s="1">
        <v>0.03</v>
      </c>
      <c r="H3796" s="1">
        <v>0.03</v>
      </c>
      <c r="I3796" s="1">
        <v>0.03</v>
      </c>
      <c r="J3796" s="1">
        <v>0.53790000000000004</v>
      </c>
    </row>
    <row r="3797" spans="1:10" x14ac:dyDescent="0.2">
      <c r="A3797" t="str">
        <f>"05/05/2011"</f>
        <v>05/05/2011</v>
      </c>
      <c r="B3797">
        <v>3</v>
      </c>
      <c r="C3797">
        <v>56000</v>
      </c>
      <c r="D3797">
        <v>94144</v>
      </c>
      <c r="E3797">
        <v>56000</v>
      </c>
      <c r="F3797">
        <v>56000</v>
      </c>
      <c r="G3797" s="1">
        <v>0.03</v>
      </c>
      <c r="H3797" s="1">
        <v>0.03</v>
      </c>
      <c r="I3797" s="1">
        <v>0.03</v>
      </c>
      <c r="J3797" s="1">
        <v>0.54079999999999995</v>
      </c>
    </row>
    <row r="3798" spans="1:10" x14ac:dyDescent="0.2">
      <c r="A3798" t="str">
        <f>"04/05/2011"</f>
        <v>04/05/2011</v>
      </c>
      <c r="B3798">
        <v>1</v>
      </c>
      <c r="C3798">
        <v>61000</v>
      </c>
      <c r="D3798">
        <v>97462</v>
      </c>
      <c r="E3798">
        <v>61000</v>
      </c>
      <c r="F3798">
        <v>61000</v>
      </c>
      <c r="G3798" s="1">
        <v>0.03</v>
      </c>
      <c r="H3798" s="1">
        <v>0.03</v>
      </c>
      <c r="I3798" s="1">
        <v>0.03</v>
      </c>
      <c r="J3798" s="1">
        <v>0.56759999999999999</v>
      </c>
    </row>
    <row r="3799" spans="1:10" x14ac:dyDescent="0.2">
      <c r="A3799" t="str">
        <f>"03/05/2011"</f>
        <v>03/05/2011</v>
      </c>
      <c r="B3799">
        <v>1</v>
      </c>
      <c r="C3799">
        <v>59000</v>
      </c>
      <c r="D3799">
        <v>89283</v>
      </c>
      <c r="E3799">
        <v>59000</v>
      </c>
      <c r="F3799">
        <v>59000</v>
      </c>
      <c r="G3799" s="1">
        <v>0.03</v>
      </c>
      <c r="H3799" s="1">
        <v>0.03</v>
      </c>
      <c r="I3799" s="1">
        <v>0.03</v>
      </c>
      <c r="J3799" s="1">
        <v>0.60670000000000002</v>
      </c>
    </row>
    <row r="3800" spans="1:10" x14ac:dyDescent="0.2">
      <c r="A3800" t="str">
        <f>"02/05/2011"</f>
        <v>02/05/2011</v>
      </c>
      <c r="B3800">
        <v>1</v>
      </c>
      <c r="C3800">
        <v>58000</v>
      </c>
      <c r="D3800">
        <v>80445</v>
      </c>
      <c r="E3800">
        <v>58000</v>
      </c>
      <c r="F3800">
        <v>58000</v>
      </c>
      <c r="G3800" s="1">
        <v>0.03</v>
      </c>
      <c r="H3800" s="1">
        <v>0.03</v>
      </c>
      <c r="I3800" s="1">
        <v>0.03</v>
      </c>
      <c r="J3800" s="1">
        <v>0.67520000000000002</v>
      </c>
    </row>
    <row r="3801" spans="1:10" x14ac:dyDescent="0.2">
      <c r="A3801" t="str">
        <f>"01/05/2011"</f>
        <v>01/05/2011</v>
      </c>
      <c r="B3801">
        <v>1</v>
      </c>
      <c r="C3801">
        <v>58000</v>
      </c>
      <c r="D3801">
        <v>77895</v>
      </c>
      <c r="E3801">
        <v>58000</v>
      </c>
      <c r="F3801">
        <v>58000</v>
      </c>
      <c r="G3801" s="1">
        <v>0.03</v>
      </c>
      <c r="H3801" s="1">
        <v>0.03</v>
      </c>
      <c r="I3801" s="1">
        <v>0.03</v>
      </c>
      <c r="J3801" s="1">
        <v>0.71840000000000004</v>
      </c>
    </row>
    <row r="3802" spans="1:10" x14ac:dyDescent="0.2">
      <c r="A3802" t="str">
        <f>"29/04/2011"</f>
        <v>29/04/2011</v>
      </c>
      <c r="B3802">
        <v>2</v>
      </c>
      <c r="C3802">
        <v>12000</v>
      </c>
      <c r="D3802">
        <v>6600</v>
      </c>
      <c r="E3802">
        <v>6600</v>
      </c>
      <c r="F3802">
        <v>6600</v>
      </c>
      <c r="G3802" s="1">
        <v>0.03</v>
      </c>
      <c r="H3802" s="1">
        <v>0.03</v>
      </c>
      <c r="I3802" s="1">
        <v>0.03</v>
      </c>
      <c r="J3802" s="1">
        <v>1</v>
      </c>
    </row>
    <row r="3803" spans="1:10" x14ac:dyDescent="0.2">
      <c r="A3803" t="str">
        <f>"28/04/2011"</f>
        <v>28/04/2011</v>
      </c>
      <c r="B3803">
        <v>3</v>
      </c>
      <c r="C3803">
        <v>40000</v>
      </c>
      <c r="D3803">
        <v>49304</v>
      </c>
      <c r="E3803">
        <v>40000</v>
      </c>
      <c r="F3803">
        <v>40000</v>
      </c>
      <c r="G3803" s="1">
        <v>0.03</v>
      </c>
      <c r="H3803" s="1">
        <v>0.03</v>
      </c>
      <c r="I3803" s="1">
        <v>0.03</v>
      </c>
      <c r="J3803" s="1">
        <v>0.7712</v>
      </c>
    </row>
    <row r="3804" spans="1:10" x14ac:dyDescent="0.2">
      <c r="A3804" t="str">
        <f>"27/04/2011"</f>
        <v>27/04/2011</v>
      </c>
      <c r="B3804">
        <v>1</v>
      </c>
      <c r="C3804">
        <v>38000</v>
      </c>
      <c r="D3804">
        <v>35282</v>
      </c>
      <c r="E3804">
        <v>35282</v>
      </c>
      <c r="F3804">
        <v>35282</v>
      </c>
      <c r="G3804" s="1">
        <v>0.03</v>
      </c>
      <c r="H3804" s="1">
        <v>2.9899999999999999E-2</v>
      </c>
      <c r="I3804" s="1">
        <v>2.9899999999999999E-2</v>
      </c>
      <c r="J3804" s="1">
        <v>1</v>
      </c>
    </row>
    <row r="3805" spans="1:10" x14ac:dyDescent="0.2">
      <c r="A3805" t="str">
        <f>"26/04/2011"</f>
        <v>26/04/2011</v>
      </c>
      <c r="B3805">
        <v>1</v>
      </c>
      <c r="C3805">
        <v>41000</v>
      </c>
      <c r="D3805">
        <v>73774</v>
      </c>
      <c r="E3805">
        <v>41000</v>
      </c>
      <c r="F3805">
        <v>41000</v>
      </c>
      <c r="G3805" s="1">
        <v>0.03</v>
      </c>
      <c r="H3805" s="1">
        <v>2.9899999999999999E-2</v>
      </c>
      <c r="I3805" s="1">
        <v>2.9899999999999999E-2</v>
      </c>
      <c r="J3805" s="1">
        <v>0.23960000000000001</v>
      </c>
    </row>
    <row r="3806" spans="1:10" x14ac:dyDescent="0.2">
      <c r="A3806" t="str">
        <f>"21/04/2011"</f>
        <v>21/04/2011</v>
      </c>
      <c r="B3806">
        <v>5</v>
      </c>
      <c r="C3806">
        <v>42000</v>
      </c>
      <c r="D3806">
        <v>74326</v>
      </c>
      <c r="E3806">
        <v>42000</v>
      </c>
      <c r="F3806">
        <v>42000</v>
      </c>
      <c r="G3806" s="1">
        <v>0.03</v>
      </c>
      <c r="H3806" s="1">
        <v>0.03</v>
      </c>
      <c r="I3806" s="1">
        <v>0.03</v>
      </c>
      <c r="J3806" s="1">
        <v>0.46239999999999998</v>
      </c>
    </row>
    <row r="3807" spans="1:10" x14ac:dyDescent="0.2">
      <c r="A3807" t="str">
        <f>"20/04/2011"</f>
        <v>20/04/2011</v>
      </c>
      <c r="B3807">
        <v>1</v>
      </c>
      <c r="C3807">
        <v>41000</v>
      </c>
      <c r="D3807">
        <v>84318</v>
      </c>
      <c r="E3807">
        <v>41000</v>
      </c>
      <c r="F3807">
        <v>41000</v>
      </c>
      <c r="G3807" s="1">
        <v>0.03</v>
      </c>
      <c r="H3807" s="1">
        <v>0.03</v>
      </c>
      <c r="I3807" s="1">
        <v>0.03</v>
      </c>
      <c r="J3807" s="1">
        <v>0.40260000000000001</v>
      </c>
    </row>
    <row r="3808" spans="1:10" x14ac:dyDescent="0.2">
      <c r="A3808" t="str">
        <f>"17/04/2011"</f>
        <v>17/04/2011</v>
      </c>
      <c r="B3808">
        <v>3</v>
      </c>
      <c r="C3808">
        <v>37000</v>
      </c>
      <c r="D3808">
        <v>72271</v>
      </c>
      <c r="E3808">
        <v>37000</v>
      </c>
      <c r="F3808">
        <v>37000</v>
      </c>
      <c r="G3808" s="1">
        <v>0.03</v>
      </c>
      <c r="H3808" s="1">
        <v>0.03</v>
      </c>
      <c r="I3808" s="1">
        <v>0.03</v>
      </c>
      <c r="J3808" s="1">
        <v>0.40350000000000003</v>
      </c>
    </row>
    <row r="3809" spans="1:10" x14ac:dyDescent="0.2">
      <c r="A3809" t="str">
        <f>"14/04/2011"</f>
        <v>14/04/2011</v>
      </c>
      <c r="B3809">
        <v>3</v>
      </c>
      <c r="C3809">
        <v>49000</v>
      </c>
      <c r="D3809">
        <v>93276</v>
      </c>
      <c r="E3809">
        <v>49000</v>
      </c>
      <c r="F3809">
        <v>49000</v>
      </c>
      <c r="G3809" s="1">
        <v>0.03</v>
      </c>
      <c r="H3809" s="1">
        <v>0.03</v>
      </c>
      <c r="I3809" s="1">
        <v>0.03</v>
      </c>
      <c r="J3809" s="1">
        <v>0.4355</v>
      </c>
    </row>
    <row r="3810" spans="1:10" x14ac:dyDescent="0.2">
      <c r="A3810" t="str">
        <f>"13/04/2011"</f>
        <v>13/04/2011</v>
      </c>
      <c r="B3810">
        <v>1</v>
      </c>
      <c r="C3810">
        <v>48500</v>
      </c>
      <c r="D3810">
        <v>99940</v>
      </c>
      <c r="E3810">
        <v>48500</v>
      </c>
      <c r="F3810">
        <v>48500</v>
      </c>
      <c r="G3810" s="1">
        <v>0.03</v>
      </c>
      <c r="H3810" s="1">
        <v>0.03</v>
      </c>
      <c r="I3810" s="1">
        <v>0.03</v>
      </c>
      <c r="J3810" s="1">
        <v>0.39350000000000002</v>
      </c>
    </row>
    <row r="3811" spans="1:10" x14ac:dyDescent="0.2">
      <c r="A3811" t="str">
        <f>"12/04/2011"</f>
        <v>12/04/2011</v>
      </c>
      <c r="B3811">
        <v>1</v>
      </c>
      <c r="C3811">
        <v>48000</v>
      </c>
      <c r="D3811">
        <v>94980</v>
      </c>
      <c r="E3811">
        <v>48000</v>
      </c>
      <c r="F3811">
        <v>48000</v>
      </c>
      <c r="G3811" s="1">
        <v>0.03</v>
      </c>
      <c r="H3811" s="1">
        <v>0.03</v>
      </c>
      <c r="I3811" s="1">
        <v>0.03</v>
      </c>
      <c r="J3811" s="1">
        <v>0.42220000000000002</v>
      </c>
    </row>
    <row r="3812" spans="1:10" x14ac:dyDescent="0.2">
      <c r="A3812" t="str">
        <f>"11/04/2011"</f>
        <v>11/04/2011</v>
      </c>
      <c r="B3812">
        <v>1</v>
      </c>
      <c r="C3812">
        <v>48000</v>
      </c>
      <c r="D3812">
        <v>91477</v>
      </c>
      <c r="E3812">
        <v>48000</v>
      </c>
      <c r="F3812">
        <v>48000</v>
      </c>
      <c r="G3812" s="1">
        <v>0.03</v>
      </c>
      <c r="H3812" s="1">
        <v>0.03</v>
      </c>
      <c r="I3812" s="1">
        <v>0.03</v>
      </c>
      <c r="J3812" s="1">
        <v>0.44600000000000001</v>
      </c>
    </row>
    <row r="3813" spans="1:10" x14ac:dyDescent="0.2">
      <c r="A3813" t="str">
        <f>"10/04/2011"</f>
        <v>10/04/2011</v>
      </c>
      <c r="B3813">
        <v>1</v>
      </c>
      <c r="C3813">
        <v>48000</v>
      </c>
      <c r="D3813">
        <v>88841</v>
      </c>
      <c r="E3813">
        <v>48000</v>
      </c>
      <c r="F3813">
        <v>48000</v>
      </c>
      <c r="G3813" s="1">
        <v>0.03</v>
      </c>
      <c r="H3813" s="1">
        <v>0.03</v>
      </c>
      <c r="I3813" s="1">
        <v>0.03</v>
      </c>
      <c r="J3813" s="1">
        <v>0.4713</v>
      </c>
    </row>
    <row r="3814" spans="1:10" x14ac:dyDescent="0.2">
      <c r="A3814" t="str">
        <f>"07/04/2011"</f>
        <v>07/04/2011</v>
      </c>
      <c r="B3814">
        <v>3</v>
      </c>
      <c r="C3814">
        <v>47500</v>
      </c>
      <c r="D3814">
        <v>78865</v>
      </c>
      <c r="E3814">
        <v>47500</v>
      </c>
      <c r="F3814">
        <v>47500</v>
      </c>
      <c r="G3814" s="1">
        <v>0.03</v>
      </c>
      <c r="H3814" s="1">
        <v>0.03</v>
      </c>
      <c r="I3814" s="1">
        <v>0.03</v>
      </c>
      <c r="J3814" s="1">
        <v>0.54600000000000004</v>
      </c>
    </row>
    <row r="3815" spans="1:10" x14ac:dyDescent="0.2">
      <c r="A3815" t="str">
        <f>"06/04/2011"</f>
        <v>06/04/2011</v>
      </c>
      <c r="B3815">
        <v>1</v>
      </c>
      <c r="C3815">
        <v>48000</v>
      </c>
      <c r="D3815">
        <v>80624</v>
      </c>
      <c r="E3815">
        <v>48000</v>
      </c>
      <c r="F3815">
        <v>48000</v>
      </c>
      <c r="G3815" s="1">
        <v>0.03</v>
      </c>
      <c r="H3815" s="1">
        <v>0.03</v>
      </c>
      <c r="I3815" s="1">
        <v>0.03</v>
      </c>
      <c r="J3815" s="1">
        <v>0.52869999999999995</v>
      </c>
    </row>
    <row r="3816" spans="1:10" x14ac:dyDescent="0.2">
      <c r="A3816" t="str">
        <f>"05/04/2011"</f>
        <v>05/04/2011</v>
      </c>
      <c r="B3816">
        <v>1</v>
      </c>
      <c r="C3816">
        <v>45000</v>
      </c>
      <c r="D3816">
        <v>68162</v>
      </c>
      <c r="E3816">
        <v>45000</v>
      </c>
      <c r="F3816">
        <v>45000</v>
      </c>
      <c r="G3816" s="1">
        <v>0.03</v>
      </c>
      <c r="H3816" s="1">
        <v>0.03</v>
      </c>
      <c r="I3816" s="1">
        <v>0.03</v>
      </c>
      <c r="J3816" s="1">
        <v>0.60760000000000003</v>
      </c>
    </row>
    <row r="3817" spans="1:10" x14ac:dyDescent="0.2">
      <c r="A3817" t="str">
        <f>"04/04/2011"</f>
        <v>04/04/2011</v>
      </c>
      <c r="B3817">
        <v>1</v>
      </c>
      <c r="C3817">
        <v>45000</v>
      </c>
      <c r="D3817">
        <v>62363</v>
      </c>
      <c r="E3817">
        <v>45000</v>
      </c>
      <c r="F3817">
        <v>45000</v>
      </c>
      <c r="G3817" s="1">
        <v>0.03</v>
      </c>
      <c r="H3817" s="1">
        <v>0.03</v>
      </c>
      <c r="I3817" s="1">
        <v>0.03</v>
      </c>
      <c r="J3817" s="1">
        <v>0.67110000000000003</v>
      </c>
    </row>
    <row r="3818" spans="1:10" x14ac:dyDescent="0.2">
      <c r="A3818" t="str">
        <f>"03/04/2011"</f>
        <v>03/04/2011</v>
      </c>
      <c r="B3818">
        <v>1</v>
      </c>
      <c r="C3818">
        <v>45000</v>
      </c>
      <c r="D3818">
        <v>57173</v>
      </c>
      <c r="E3818">
        <v>45000</v>
      </c>
      <c r="F3818">
        <v>45000</v>
      </c>
      <c r="G3818" s="1">
        <v>0.03</v>
      </c>
      <c r="H3818" s="1">
        <v>0.03</v>
      </c>
      <c r="I3818" s="1">
        <v>0.03</v>
      </c>
      <c r="J3818" s="1">
        <v>0.76139999999999997</v>
      </c>
    </row>
    <row r="3819" spans="1:10" x14ac:dyDescent="0.2">
      <c r="A3819" t="str">
        <f>"31/03/2011"</f>
        <v>31/03/2011</v>
      </c>
      <c r="B3819">
        <v>3</v>
      </c>
      <c r="C3819">
        <v>39000</v>
      </c>
      <c r="D3819">
        <v>44640</v>
      </c>
      <c r="E3819">
        <v>39000</v>
      </c>
      <c r="F3819">
        <v>39000</v>
      </c>
      <c r="G3819" s="1">
        <v>0.03</v>
      </c>
      <c r="H3819" s="1">
        <v>0.03</v>
      </c>
      <c r="I3819" s="1">
        <v>0.03</v>
      </c>
      <c r="J3819" s="1">
        <v>0.8538</v>
      </c>
    </row>
    <row r="3820" spans="1:10" x14ac:dyDescent="0.2">
      <c r="A3820" t="str">
        <f>"30/03/2011"</f>
        <v>30/03/2011</v>
      </c>
      <c r="B3820">
        <v>1</v>
      </c>
      <c r="C3820">
        <v>28000</v>
      </c>
      <c r="D3820">
        <v>25327</v>
      </c>
      <c r="E3820">
        <v>25327</v>
      </c>
      <c r="F3820">
        <v>25327</v>
      </c>
      <c r="G3820" s="1">
        <v>2.5000000000000001E-2</v>
      </c>
      <c r="H3820" s="1">
        <v>2.4899999999999999E-2</v>
      </c>
      <c r="I3820" s="1">
        <v>2.4899999999999999E-2</v>
      </c>
      <c r="J3820" s="1">
        <v>1</v>
      </c>
    </row>
    <row r="3821" spans="1:10" x14ac:dyDescent="0.2">
      <c r="A3821" t="str">
        <f>"29/03/2011"</f>
        <v>29/03/2011</v>
      </c>
      <c r="B3821">
        <v>1</v>
      </c>
      <c r="C3821">
        <v>31000</v>
      </c>
      <c r="D3821">
        <v>54330</v>
      </c>
      <c r="E3821">
        <v>31000</v>
      </c>
      <c r="F3821">
        <v>31000</v>
      </c>
      <c r="G3821" s="1">
        <v>2.5000000000000001E-2</v>
      </c>
      <c r="H3821" s="1">
        <v>2.5000000000000001E-2</v>
      </c>
      <c r="I3821" s="1">
        <v>2.5000000000000001E-2</v>
      </c>
      <c r="J3821" s="1">
        <v>0.48270000000000002</v>
      </c>
    </row>
    <row r="3822" spans="1:10" x14ac:dyDescent="0.2">
      <c r="A3822" t="str">
        <f>"28/03/2011"</f>
        <v>28/03/2011</v>
      </c>
      <c r="B3822">
        <v>1</v>
      </c>
      <c r="C3822">
        <v>32500</v>
      </c>
      <c r="D3822">
        <v>66178</v>
      </c>
      <c r="E3822">
        <v>32500</v>
      </c>
      <c r="F3822">
        <v>32500</v>
      </c>
      <c r="G3822" s="1">
        <v>2.5000000000000001E-2</v>
      </c>
      <c r="H3822" s="1">
        <v>2.5000000000000001E-2</v>
      </c>
      <c r="I3822" s="1">
        <v>2.5000000000000001E-2</v>
      </c>
      <c r="J3822" s="1">
        <v>0.38769999999999999</v>
      </c>
    </row>
    <row r="3823" spans="1:10" x14ac:dyDescent="0.2">
      <c r="A3823" t="str">
        <f>"27/03/2011"</f>
        <v>27/03/2011</v>
      </c>
      <c r="B3823">
        <v>1</v>
      </c>
      <c r="C3823">
        <v>30000</v>
      </c>
      <c r="D3823">
        <v>65672</v>
      </c>
      <c r="E3823">
        <v>30000</v>
      </c>
      <c r="F3823">
        <v>30000</v>
      </c>
      <c r="G3823" s="1">
        <v>2.5000000000000001E-2</v>
      </c>
      <c r="H3823" s="1">
        <v>2.5000000000000001E-2</v>
      </c>
      <c r="I3823" s="1">
        <v>2.5000000000000001E-2</v>
      </c>
      <c r="J3823" s="1">
        <v>0.35649999999999998</v>
      </c>
    </row>
    <row r="3824" spans="1:10" x14ac:dyDescent="0.2">
      <c r="A3824" t="str">
        <f>"24/03/2011"</f>
        <v>24/03/2011</v>
      </c>
      <c r="B3824">
        <v>3</v>
      </c>
      <c r="C3824">
        <v>28000</v>
      </c>
      <c r="D3824">
        <v>61133</v>
      </c>
      <c r="E3824">
        <v>28000</v>
      </c>
      <c r="F3824">
        <v>28000</v>
      </c>
      <c r="G3824" s="1">
        <v>2.5000000000000001E-2</v>
      </c>
      <c r="H3824" s="1">
        <v>2.5000000000000001E-2</v>
      </c>
      <c r="I3824" s="1">
        <v>2.5000000000000001E-2</v>
      </c>
      <c r="J3824" s="1">
        <v>0.31290000000000001</v>
      </c>
    </row>
    <row r="3825" spans="1:10" x14ac:dyDescent="0.2">
      <c r="A3825" t="str">
        <f>"23/03/2011"</f>
        <v>23/03/2011</v>
      </c>
      <c r="B3825">
        <v>1</v>
      </c>
      <c r="C3825">
        <v>28000</v>
      </c>
      <c r="D3825">
        <v>72090</v>
      </c>
      <c r="E3825">
        <v>28000</v>
      </c>
      <c r="F3825">
        <v>28000</v>
      </c>
      <c r="G3825" s="1">
        <v>2.5000000000000001E-2</v>
      </c>
      <c r="H3825" s="1">
        <v>2.5000000000000001E-2</v>
      </c>
      <c r="I3825" s="1">
        <v>2.5000000000000001E-2</v>
      </c>
      <c r="J3825" s="1">
        <v>0.3024</v>
      </c>
    </row>
    <row r="3826" spans="1:10" x14ac:dyDescent="0.2">
      <c r="A3826" t="str">
        <f>"22/03/2011"</f>
        <v>22/03/2011</v>
      </c>
      <c r="B3826">
        <v>1</v>
      </c>
      <c r="C3826">
        <v>30000</v>
      </c>
      <c r="D3826">
        <v>74702</v>
      </c>
      <c r="E3826">
        <v>30000</v>
      </c>
      <c r="F3826">
        <v>30000</v>
      </c>
      <c r="G3826" s="1">
        <v>2.5000000000000001E-2</v>
      </c>
      <c r="H3826" s="1">
        <v>2.5000000000000001E-2</v>
      </c>
      <c r="I3826" s="1">
        <v>2.5000000000000001E-2</v>
      </c>
      <c r="J3826" s="1">
        <v>0.32550000000000001</v>
      </c>
    </row>
    <row r="3827" spans="1:10" x14ac:dyDescent="0.2">
      <c r="A3827" t="str">
        <f>"21/03/2011"</f>
        <v>21/03/2011</v>
      </c>
      <c r="B3827">
        <v>1</v>
      </c>
      <c r="C3827">
        <v>30000</v>
      </c>
      <c r="D3827">
        <v>67861</v>
      </c>
      <c r="E3827">
        <v>30000</v>
      </c>
      <c r="F3827">
        <v>30000</v>
      </c>
      <c r="G3827" s="1">
        <v>2.5000000000000001E-2</v>
      </c>
      <c r="H3827" s="1">
        <v>2.5000000000000001E-2</v>
      </c>
      <c r="I3827" s="1">
        <v>2.5000000000000001E-2</v>
      </c>
      <c r="J3827" s="1">
        <v>0.34860000000000002</v>
      </c>
    </row>
    <row r="3828" spans="1:10" x14ac:dyDescent="0.2">
      <c r="A3828" t="str">
        <f>"17/03/2011"</f>
        <v>17/03/2011</v>
      </c>
      <c r="B3828">
        <v>4</v>
      </c>
      <c r="C3828">
        <v>32000</v>
      </c>
      <c r="D3828">
        <v>63907</v>
      </c>
      <c r="E3828">
        <v>32000</v>
      </c>
      <c r="F3828">
        <v>32000</v>
      </c>
      <c r="G3828" s="1">
        <v>2.5000000000000001E-2</v>
      </c>
      <c r="H3828" s="1">
        <v>2.5000000000000001E-2</v>
      </c>
      <c r="I3828" s="1">
        <v>2.5000000000000001E-2</v>
      </c>
      <c r="J3828" s="1">
        <v>0.4138</v>
      </c>
    </row>
    <row r="3829" spans="1:10" x14ac:dyDescent="0.2">
      <c r="A3829" t="str">
        <f>"16/03/2011"</f>
        <v>16/03/2011</v>
      </c>
      <c r="B3829">
        <v>1</v>
      </c>
      <c r="C3829">
        <v>33000</v>
      </c>
      <c r="D3829">
        <v>62533</v>
      </c>
      <c r="E3829">
        <v>33000</v>
      </c>
      <c r="F3829">
        <v>33000</v>
      </c>
      <c r="G3829" s="1">
        <v>2.5000000000000001E-2</v>
      </c>
      <c r="H3829" s="1">
        <v>2.5000000000000001E-2</v>
      </c>
      <c r="I3829" s="1">
        <v>2.5000000000000001E-2</v>
      </c>
      <c r="J3829" s="1">
        <v>0.43159999999999998</v>
      </c>
    </row>
    <row r="3830" spans="1:10" x14ac:dyDescent="0.2">
      <c r="A3830" t="str">
        <f>"15/03/2011"</f>
        <v>15/03/2011</v>
      </c>
      <c r="B3830">
        <v>1</v>
      </c>
      <c r="C3830">
        <v>47000</v>
      </c>
      <c r="D3830">
        <v>77799</v>
      </c>
      <c r="E3830">
        <v>47000</v>
      </c>
      <c r="F3830">
        <v>47000</v>
      </c>
      <c r="G3830" s="1">
        <v>2.5000000000000001E-2</v>
      </c>
      <c r="H3830" s="1">
        <v>2.5000000000000001E-2</v>
      </c>
      <c r="I3830" s="1">
        <v>2.5000000000000001E-2</v>
      </c>
      <c r="J3830" s="1">
        <v>0.55349999999999999</v>
      </c>
    </row>
    <row r="3831" spans="1:10" x14ac:dyDescent="0.2">
      <c r="A3831" t="str">
        <f>"14/03/2011"</f>
        <v>14/03/2011</v>
      </c>
      <c r="B3831">
        <v>1</v>
      </c>
      <c r="C3831">
        <v>48000</v>
      </c>
      <c r="D3831">
        <v>81861</v>
      </c>
      <c r="E3831">
        <v>48000</v>
      </c>
      <c r="F3831">
        <v>48000</v>
      </c>
      <c r="G3831" s="1">
        <v>2.5000000000000001E-2</v>
      </c>
      <c r="H3831" s="1">
        <v>2.5000000000000001E-2</v>
      </c>
      <c r="I3831" s="1">
        <v>2.5000000000000001E-2</v>
      </c>
      <c r="J3831" s="1">
        <v>0.53979999999999995</v>
      </c>
    </row>
    <row r="3832" spans="1:10" x14ac:dyDescent="0.2">
      <c r="A3832" t="str">
        <f>"13/03/2011"</f>
        <v>13/03/2011</v>
      </c>
      <c r="B3832">
        <v>1</v>
      </c>
      <c r="C3832">
        <v>48000</v>
      </c>
      <c r="D3832">
        <v>79826</v>
      </c>
      <c r="E3832">
        <v>48000</v>
      </c>
      <c r="F3832">
        <v>48000</v>
      </c>
      <c r="G3832" s="1">
        <v>2.5000000000000001E-2</v>
      </c>
      <c r="H3832" s="1">
        <v>2.5000000000000001E-2</v>
      </c>
      <c r="I3832" s="1">
        <v>2.5000000000000001E-2</v>
      </c>
      <c r="J3832" s="1">
        <v>0.55159999999999998</v>
      </c>
    </row>
    <row r="3833" spans="1:10" x14ac:dyDescent="0.2">
      <c r="A3833" t="str">
        <f>"10/03/2011"</f>
        <v>10/03/2011</v>
      </c>
      <c r="B3833">
        <v>3</v>
      </c>
      <c r="C3833">
        <v>48500</v>
      </c>
      <c r="D3833">
        <v>78541</v>
      </c>
      <c r="E3833">
        <v>48500</v>
      </c>
      <c r="F3833">
        <v>48500</v>
      </c>
      <c r="G3833" s="1">
        <v>2.5000000000000001E-2</v>
      </c>
      <c r="H3833" s="1">
        <v>2.5000000000000001E-2</v>
      </c>
      <c r="I3833" s="1">
        <v>2.5000000000000001E-2</v>
      </c>
      <c r="J3833" s="1">
        <v>0.55369999999999997</v>
      </c>
    </row>
    <row r="3834" spans="1:10" x14ac:dyDescent="0.2">
      <c r="A3834" t="str">
        <f>"09/03/2011"</f>
        <v>09/03/2011</v>
      </c>
      <c r="B3834">
        <v>1</v>
      </c>
      <c r="C3834">
        <v>48500</v>
      </c>
      <c r="D3834">
        <v>85511</v>
      </c>
      <c r="E3834">
        <v>48500</v>
      </c>
      <c r="F3834">
        <v>48500</v>
      </c>
      <c r="G3834" s="1">
        <v>2.5000000000000001E-2</v>
      </c>
      <c r="H3834" s="1">
        <v>2.5000000000000001E-2</v>
      </c>
      <c r="I3834" s="1">
        <v>2.5000000000000001E-2</v>
      </c>
      <c r="J3834" s="1">
        <v>0.50080000000000002</v>
      </c>
    </row>
    <row r="3835" spans="1:10" x14ac:dyDescent="0.2">
      <c r="A3835" t="str">
        <f>"08/03/2011"</f>
        <v>08/03/2011</v>
      </c>
      <c r="B3835">
        <v>1</v>
      </c>
      <c r="C3835">
        <v>49000</v>
      </c>
      <c r="D3835">
        <v>85573</v>
      </c>
      <c r="E3835">
        <v>49000</v>
      </c>
      <c r="F3835">
        <v>49000</v>
      </c>
      <c r="G3835" s="1">
        <v>2.5000000000000001E-2</v>
      </c>
      <c r="H3835" s="1">
        <v>2.5000000000000001E-2</v>
      </c>
      <c r="I3835" s="1">
        <v>2.5000000000000001E-2</v>
      </c>
      <c r="J3835" s="1">
        <v>0.50170000000000003</v>
      </c>
    </row>
    <row r="3836" spans="1:10" x14ac:dyDescent="0.2">
      <c r="A3836" t="str">
        <f>"07/03/2011"</f>
        <v>07/03/2011</v>
      </c>
      <c r="B3836">
        <v>1</v>
      </c>
      <c r="C3836">
        <v>49000</v>
      </c>
      <c r="D3836">
        <v>84065</v>
      </c>
      <c r="E3836">
        <v>49000</v>
      </c>
      <c r="F3836">
        <v>49000</v>
      </c>
      <c r="G3836" s="1">
        <v>2.5000000000000001E-2</v>
      </c>
      <c r="H3836" s="1">
        <v>2.5000000000000001E-2</v>
      </c>
      <c r="I3836" s="1">
        <v>2.5000000000000001E-2</v>
      </c>
      <c r="J3836" s="1">
        <v>0.51670000000000005</v>
      </c>
    </row>
    <row r="3837" spans="1:10" x14ac:dyDescent="0.2">
      <c r="A3837" t="str">
        <f>"06/03/2011"</f>
        <v>06/03/2011</v>
      </c>
      <c r="B3837">
        <v>1</v>
      </c>
      <c r="C3837">
        <v>48500</v>
      </c>
      <c r="D3837">
        <v>78870</v>
      </c>
      <c r="E3837">
        <v>48500</v>
      </c>
      <c r="F3837">
        <v>48500</v>
      </c>
      <c r="G3837" s="1">
        <v>2.5000000000000001E-2</v>
      </c>
      <c r="H3837" s="1">
        <v>2.5000000000000001E-2</v>
      </c>
      <c r="I3837" s="1">
        <v>2.5000000000000001E-2</v>
      </c>
      <c r="J3837" s="1">
        <v>0.56859999999999999</v>
      </c>
    </row>
    <row r="3838" spans="1:10" x14ac:dyDescent="0.2">
      <c r="A3838" t="str">
        <f>"03/03/2011"</f>
        <v>03/03/2011</v>
      </c>
      <c r="B3838">
        <v>3</v>
      </c>
      <c r="C3838">
        <v>48500</v>
      </c>
      <c r="D3838">
        <v>71933</v>
      </c>
      <c r="E3838">
        <v>48500</v>
      </c>
      <c r="F3838">
        <v>48500</v>
      </c>
      <c r="G3838" s="1">
        <v>2.5000000000000001E-2</v>
      </c>
      <c r="H3838" s="1">
        <v>2.5000000000000001E-2</v>
      </c>
      <c r="I3838" s="1">
        <v>2.5000000000000001E-2</v>
      </c>
      <c r="J3838" s="1">
        <v>0.62050000000000005</v>
      </c>
    </row>
    <row r="3839" spans="1:10" x14ac:dyDescent="0.2">
      <c r="A3839" t="str">
        <f>"02/03/2011"</f>
        <v>02/03/2011</v>
      </c>
      <c r="B3839">
        <v>1</v>
      </c>
      <c r="C3839">
        <v>48000</v>
      </c>
      <c r="D3839">
        <v>70878</v>
      </c>
      <c r="E3839">
        <v>48000</v>
      </c>
      <c r="F3839">
        <v>48000</v>
      </c>
      <c r="G3839" s="1">
        <v>2.5000000000000001E-2</v>
      </c>
      <c r="H3839" s="1">
        <v>2.5000000000000001E-2</v>
      </c>
      <c r="I3839" s="1">
        <v>2.5000000000000001E-2</v>
      </c>
      <c r="J3839" s="1">
        <v>0.62909999999999999</v>
      </c>
    </row>
    <row r="3840" spans="1:10" x14ac:dyDescent="0.2">
      <c r="A3840" t="str">
        <f>"01/03/2011"</f>
        <v>01/03/2011</v>
      </c>
      <c r="B3840">
        <v>1</v>
      </c>
      <c r="C3840">
        <v>46000</v>
      </c>
      <c r="D3840">
        <v>63335</v>
      </c>
      <c r="E3840">
        <v>46000</v>
      </c>
      <c r="F3840">
        <v>46000</v>
      </c>
      <c r="G3840" s="1">
        <v>2.5000000000000001E-2</v>
      </c>
      <c r="H3840" s="1">
        <v>2.5000000000000001E-2</v>
      </c>
      <c r="I3840" s="1">
        <v>2.5000000000000001E-2</v>
      </c>
      <c r="J3840" s="1">
        <v>0.68289999999999995</v>
      </c>
    </row>
    <row r="3841" spans="1:10" x14ac:dyDescent="0.2">
      <c r="A3841" t="str">
        <f>"28/02/2011"</f>
        <v>28/02/2011</v>
      </c>
      <c r="B3841">
        <v>1</v>
      </c>
      <c r="C3841">
        <v>41000</v>
      </c>
      <c r="D3841">
        <v>51027</v>
      </c>
      <c r="E3841">
        <v>41000</v>
      </c>
      <c r="F3841">
        <v>41000</v>
      </c>
      <c r="G3841" s="1">
        <v>2.5000000000000001E-2</v>
      </c>
      <c r="H3841" s="1">
        <v>2.5000000000000001E-2</v>
      </c>
      <c r="I3841" s="1">
        <v>2.5000000000000001E-2</v>
      </c>
      <c r="J3841" s="1">
        <v>0.76929999999999998</v>
      </c>
    </row>
    <row r="3842" spans="1:10" x14ac:dyDescent="0.2">
      <c r="A3842" t="str">
        <f>"27/02/2011"</f>
        <v>27/02/2011</v>
      </c>
      <c r="B3842">
        <v>1</v>
      </c>
      <c r="C3842">
        <v>31000</v>
      </c>
      <c r="D3842">
        <v>37656</v>
      </c>
      <c r="E3842">
        <v>31000</v>
      </c>
      <c r="F3842">
        <v>31000</v>
      </c>
      <c r="G3842" s="1">
        <v>2.5000000000000001E-2</v>
      </c>
      <c r="H3842" s="1">
        <v>2.5000000000000001E-2</v>
      </c>
      <c r="I3842" s="1">
        <v>2.5000000000000001E-2</v>
      </c>
      <c r="J3842" s="1">
        <v>0.79010000000000002</v>
      </c>
    </row>
    <row r="3843" spans="1:10" x14ac:dyDescent="0.2">
      <c r="A3843" t="str">
        <f>"24/02/2011"</f>
        <v>24/02/2011</v>
      </c>
      <c r="B3843">
        <v>3</v>
      </c>
      <c r="C3843">
        <v>30000</v>
      </c>
      <c r="D3843">
        <v>34680</v>
      </c>
      <c r="E3843">
        <v>30000</v>
      </c>
      <c r="F3843">
        <v>30000</v>
      </c>
      <c r="G3843" s="1">
        <v>2.5000000000000001E-2</v>
      </c>
      <c r="H3843" s="1">
        <v>2.5000000000000001E-2</v>
      </c>
      <c r="I3843" s="1">
        <v>2.5000000000000001E-2</v>
      </c>
      <c r="J3843" s="1">
        <v>0.83220000000000005</v>
      </c>
    </row>
    <row r="3844" spans="1:10" x14ac:dyDescent="0.2">
      <c r="A3844" t="str">
        <f>"23/02/2011"</f>
        <v>23/02/2011</v>
      </c>
      <c r="B3844">
        <v>1</v>
      </c>
      <c r="C3844">
        <v>20000</v>
      </c>
      <c r="D3844">
        <v>15539</v>
      </c>
      <c r="E3844">
        <v>15539</v>
      </c>
      <c r="F3844">
        <v>15539</v>
      </c>
      <c r="G3844" s="1">
        <v>2.2499999999999999E-2</v>
      </c>
      <c r="H3844" s="1">
        <v>2.24E-2</v>
      </c>
      <c r="I3844" s="1">
        <v>2.24E-2</v>
      </c>
      <c r="J3844" s="1">
        <v>1</v>
      </c>
    </row>
    <row r="3845" spans="1:10" x14ac:dyDescent="0.2">
      <c r="A3845" t="str">
        <f>"22/02/2011"</f>
        <v>22/02/2011</v>
      </c>
      <c r="B3845">
        <v>1</v>
      </c>
      <c r="C3845">
        <v>21000</v>
      </c>
      <c r="D3845">
        <v>52491</v>
      </c>
      <c r="E3845">
        <v>21000</v>
      </c>
      <c r="F3845">
        <v>21000</v>
      </c>
      <c r="G3845" s="1">
        <v>2.2499999999999999E-2</v>
      </c>
      <c r="H3845" s="1">
        <v>2.24E-2</v>
      </c>
      <c r="I3845" s="1">
        <v>2.24E-2</v>
      </c>
      <c r="J3845" s="1">
        <v>0.2157</v>
      </c>
    </row>
    <row r="3846" spans="1:10" x14ac:dyDescent="0.2">
      <c r="A3846" t="str">
        <f>"21/02/2011"</f>
        <v>21/02/2011</v>
      </c>
      <c r="B3846">
        <v>1</v>
      </c>
      <c r="C3846">
        <v>23000</v>
      </c>
      <c r="D3846">
        <v>62066</v>
      </c>
      <c r="E3846">
        <v>23000</v>
      </c>
      <c r="F3846">
        <v>23000</v>
      </c>
      <c r="G3846" s="1">
        <v>2.2499999999999999E-2</v>
      </c>
      <c r="H3846" s="1">
        <v>2.24E-2</v>
      </c>
      <c r="I3846" s="1">
        <v>2.24E-2</v>
      </c>
      <c r="J3846" s="1">
        <v>0.21709999999999999</v>
      </c>
    </row>
    <row r="3847" spans="1:10" x14ac:dyDescent="0.2">
      <c r="A3847" t="str">
        <f>"20/02/2011"</f>
        <v>20/02/2011</v>
      </c>
      <c r="B3847">
        <v>1</v>
      </c>
      <c r="C3847">
        <v>23500</v>
      </c>
      <c r="D3847">
        <v>67114</v>
      </c>
      <c r="E3847">
        <v>23500</v>
      </c>
      <c r="F3847">
        <v>23500</v>
      </c>
      <c r="G3847" s="1">
        <v>2.2499999999999999E-2</v>
      </c>
      <c r="H3847" s="1">
        <v>2.24E-2</v>
      </c>
      <c r="I3847" s="1">
        <v>2.24E-2</v>
      </c>
      <c r="J3847" s="1">
        <v>0.1857</v>
      </c>
    </row>
    <row r="3848" spans="1:10" x14ac:dyDescent="0.2">
      <c r="A3848" t="str">
        <f>"17/02/2011"</f>
        <v>17/02/2011</v>
      </c>
      <c r="B3848">
        <v>3</v>
      </c>
      <c r="C3848">
        <v>23500</v>
      </c>
      <c r="D3848">
        <v>65154</v>
      </c>
      <c r="E3848">
        <v>23500</v>
      </c>
      <c r="F3848">
        <v>23500</v>
      </c>
      <c r="G3848" s="1">
        <v>2.2499999999999999E-2</v>
      </c>
      <c r="H3848" s="1">
        <v>2.24E-2</v>
      </c>
      <c r="I3848" s="1">
        <v>2.24E-2</v>
      </c>
      <c r="J3848" s="1">
        <v>0.1744</v>
      </c>
    </row>
    <row r="3849" spans="1:10" x14ac:dyDescent="0.2">
      <c r="A3849" t="str">
        <f>"16/02/2011"</f>
        <v>16/02/2011</v>
      </c>
      <c r="B3849">
        <v>1</v>
      </c>
      <c r="C3849">
        <v>23000</v>
      </c>
      <c r="D3849">
        <v>70155</v>
      </c>
      <c r="E3849">
        <v>23000</v>
      </c>
      <c r="F3849">
        <v>23000</v>
      </c>
      <c r="G3849" s="1">
        <v>2.2499999999999999E-2</v>
      </c>
      <c r="H3849" s="1">
        <v>2.2499999999999999E-2</v>
      </c>
      <c r="I3849" s="1">
        <v>2.2499999999999999E-2</v>
      </c>
      <c r="J3849" s="1">
        <v>0.19869999999999999</v>
      </c>
    </row>
    <row r="3850" spans="1:10" x14ac:dyDescent="0.2">
      <c r="A3850" t="str">
        <f>"15/02/2011"</f>
        <v>15/02/2011</v>
      </c>
      <c r="B3850">
        <v>1</v>
      </c>
      <c r="C3850">
        <v>34000</v>
      </c>
      <c r="D3850">
        <v>73420</v>
      </c>
      <c r="E3850">
        <v>34000</v>
      </c>
      <c r="F3850">
        <v>34000</v>
      </c>
      <c r="G3850" s="1">
        <v>2.2499999999999999E-2</v>
      </c>
      <c r="H3850" s="1">
        <v>2.2499999999999999E-2</v>
      </c>
      <c r="I3850" s="1">
        <v>2.2499999999999999E-2</v>
      </c>
      <c r="J3850" s="1">
        <v>0.36130000000000001</v>
      </c>
    </row>
    <row r="3851" spans="1:10" x14ac:dyDescent="0.2">
      <c r="A3851" t="str">
        <f>"14/02/2011"</f>
        <v>14/02/2011</v>
      </c>
      <c r="B3851">
        <v>1</v>
      </c>
      <c r="C3851">
        <v>36000</v>
      </c>
      <c r="D3851">
        <v>73912</v>
      </c>
      <c r="E3851">
        <v>36000</v>
      </c>
      <c r="F3851">
        <v>36000</v>
      </c>
      <c r="G3851" s="1">
        <v>2.2499999999999999E-2</v>
      </c>
      <c r="H3851" s="1">
        <v>2.2499999999999999E-2</v>
      </c>
      <c r="I3851" s="1">
        <v>2.2499999999999999E-2</v>
      </c>
      <c r="J3851" s="1">
        <v>0.41199999999999998</v>
      </c>
    </row>
    <row r="3852" spans="1:10" x14ac:dyDescent="0.2">
      <c r="A3852" t="str">
        <f>"13/02/2011"</f>
        <v>13/02/2011</v>
      </c>
      <c r="B3852">
        <v>1</v>
      </c>
      <c r="C3852">
        <v>36000</v>
      </c>
      <c r="D3852">
        <v>68772</v>
      </c>
      <c r="E3852">
        <v>36000</v>
      </c>
      <c r="F3852">
        <v>36000</v>
      </c>
      <c r="G3852" s="1">
        <v>2.2499999999999999E-2</v>
      </c>
      <c r="H3852" s="1">
        <v>2.2499999999999999E-2</v>
      </c>
      <c r="I3852" s="1">
        <v>2.2499999999999999E-2</v>
      </c>
      <c r="J3852" s="1">
        <v>0.45519999999999999</v>
      </c>
    </row>
    <row r="3853" spans="1:10" x14ac:dyDescent="0.2">
      <c r="A3853" t="str">
        <f>"10/02/2011"</f>
        <v>10/02/2011</v>
      </c>
      <c r="B3853">
        <v>3</v>
      </c>
      <c r="C3853">
        <v>36000</v>
      </c>
      <c r="D3853">
        <v>63852</v>
      </c>
      <c r="E3853">
        <v>36000</v>
      </c>
      <c r="F3853">
        <v>36000</v>
      </c>
      <c r="G3853" s="1">
        <v>2.2499999999999999E-2</v>
      </c>
      <c r="H3853" s="1">
        <v>2.2499999999999999E-2</v>
      </c>
      <c r="I3853" s="1">
        <v>2.2499999999999999E-2</v>
      </c>
      <c r="J3853" s="1">
        <v>0.48709999999999998</v>
      </c>
    </row>
    <row r="3854" spans="1:10" x14ac:dyDescent="0.2">
      <c r="A3854" t="str">
        <f>"09/02/2011"</f>
        <v>09/02/2011</v>
      </c>
      <c r="B3854">
        <v>1</v>
      </c>
      <c r="C3854">
        <v>39000</v>
      </c>
      <c r="D3854">
        <v>70572</v>
      </c>
      <c r="E3854">
        <v>39000</v>
      </c>
      <c r="F3854">
        <v>39000</v>
      </c>
      <c r="G3854" s="1">
        <v>2.2499999999999999E-2</v>
      </c>
      <c r="H3854" s="1">
        <v>2.2499999999999999E-2</v>
      </c>
      <c r="I3854" s="1">
        <v>2.2499999999999999E-2</v>
      </c>
      <c r="J3854" s="1">
        <v>0.48909999999999998</v>
      </c>
    </row>
    <row r="3855" spans="1:10" x14ac:dyDescent="0.2">
      <c r="A3855" t="str">
        <f>"08/02/2011"</f>
        <v>08/02/2011</v>
      </c>
      <c r="B3855">
        <v>1</v>
      </c>
      <c r="C3855">
        <v>39000</v>
      </c>
      <c r="D3855">
        <v>63143</v>
      </c>
      <c r="E3855">
        <v>39000</v>
      </c>
      <c r="F3855">
        <v>39000</v>
      </c>
      <c r="G3855" s="1">
        <v>2.2499999999999999E-2</v>
      </c>
      <c r="H3855" s="1">
        <v>2.2499999999999999E-2</v>
      </c>
      <c r="I3855" s="1">
        <v>2.2499999999999999E-2</v>
      </c>
      <c r="J3855" s="1">
        <v>0.55959999999999999</v>
      </c>
    </row>
    <row r="3856" spans="1:10" x14ac:dyDescent="0.2">
      <c r="A3856" t="str">
        <f>"07/02/2011"</f>
        <v>07/02/2011</v>
      </c>
      <c r="B3856">
        <v>1</v>
      </c>
      <c r="C3856">
        <v>40000</v>
      </c>
      <c r="D3856">
        <v>62281</v>
      </c>
      <c r="E3856">
        <v>40000</v>
      </c>
      <c r="F3856">
        <v>40000</v>
      </c>
      <c r="G3856" s="1">
        <v>2.2499999999999999E-2</v>
      </c>
      <c r="H3856" s="1">
        <v>2.2499999999999999E-2</v>
      </c>
      <c r="I3856" s="1">
        <v>2.2499999999999999E-2</v>
      </c>
      <c r="J3856" s="1">
        <v>0.58150000000000002</v>
      </c>
    </row>
    <row r="3857" spans="1:10" x14ac:dyDescent="0.2">
      <c r="A3857" t="str">
        <f>"06/02/2011"</f>
        <v>06/02/2011</v>
      </c>
      <c r="B3857">
        <v>1</v>
      </c>
      <c r="C3857">
        <v>40000</v>
      </c>
      <c r="D3857">
        <v>60574</v>
      </c>
      <c r="E3857">
        <v>40000</v>
      </c>
      <c r="F3857">
        <v>40000</v>
      </c>
      <c r="G3857" s="1">
        <v>2.2499999999999999E-2</v>
      </c>
      <c r="H3857" s="1">
        <v>2.2499999999999999E-2</v>
      </c>
      <c r="I3857" s="1">
        <v>2.2499999999999999E-2</v>
      </c>
      <c r="J3857" s="1">
        <v>0.5998</v>
      </c>
    </row>
    <row r="3858" spans="1:10" x14ac:dyDescent="0.2">
      <c r="A3858" t="str">
        <f>"03/02/2011"</f>
        <v>03/02/2011</v>
      </c>
      <c r="B3858">
        <v>3</v>
      </c>
      <c r="C3858">
        <v>40000</v>
      </c>
      <c r="D3858">
        <v>58207</v>
      </c>
      <c r="E3858">
        <v>40000</v>
      </c>
      <c r="F3858">
        <v>40000</v>
      </c>
      <c r="G3858" s="1">
        <v>2.2499999999999999E-2</v>
      </c>
      <c r="H3858" s="1">
        <v>2.2499999999999999E-2</v>
      </c>
      <c r="I3858" s="1">
        <v>2.2499999999999999E-2</v>
      </c>
      <c r="J3858" s="1">
        <v>0.60680000000000001</v>
      </c>
    </row>
    <row r="3859" spans="1:10" x14ac:dyDescent="0.2">
      <c r="A3859" t="str">
        <f>"02/02/2011"</f>
        <v>02/02/2011</v>
      </c>
      <c r="B3859">
        <v>1</v>
      </c>
      <c r="C3859">
        <v>39000</v>
      </c>
      <c r="D3859">
        <v>59197</v>
      </c>
      <c r="E3859">
        <v>39000</v>
      </c>
      <c r="F3859">
        <v>39000</v>
      </c>
      <c r="G3859" s="1">
        <v>2.2499999999999999E-2</v>
      </c>
      <c r="H3859" s="1">
        <v>2.2499999999999999E-2</v>
      </c>
      <c r="I3859" s="1">
        <v>2.2499999999999999E-2</v>
      </c>
      <c r="J3859" s="1">
        <v>0.55589999999999995</v>
      </c>
    </row>
    <row r="3860" spans="1:10" x14ac:dyDescent="0.2">
      <c r="A3860" t="str">
        <f>"01/02/2011"</f>
        <v>01/02/2011</v>
      </c>
      <c r="B3860">
        <v>1</v>
      </c>
      <c r="C3860">
        <v>36000</v>
      </c>
      <c r="D3860">
        <v>47940</v>
      </c>
      <c r="E3860">
        <v>36000</v>
      </c>
      <c r="F3860">
        <v>36000</v>
      </c>
      <c r="G3860" s="1">
        <v>2.2499999999999999E-2</v>
      </c>
      <c r="H3860" s="1">
        <v>2.2499999999999999E-2</v>
      </c>
      <c r="I3860" s="1">
        <v>2.2499999999999999E-2</v>
      </c>
      <c r="J3860" s="1">
        <v>0.6341</v>
      </c>
    </row>
    <row r="3861" spans="1:10" x14ac:dyDescent="0.2">
      <c r="A3861" t="str">
        <f>"31/01/2011"</f>
        <v>31/01/2011</v>
      </c>
      <c r="B3861">
        <v>1</v>
      </c>
      <c r="C3861">
        <v>31500</v>
      </c>
      <c r="D3861">
        <v>41606</v>
      </c>
      <c r="E3861">
        <v>31500</v>
      </c>
      <c r="F3861">
        <v>31500</v>
      </c>
      <c r="G3861" s="1">
        <v>2.2499999999999999E-2</v>
      </c>
      <c r="H3861" s="1">
        <v>2.2499999999999999E-2</v>
      </c>
      <c r="I3861" s="1">
        <v>2.2499999999999999E-2</v>
      </c>
      <c r="J3861" s="1">
        <v>0.66949999999999998</v>
      </c>
    </row>
    <row r="3862" spans="1:10" x14ac:dyDescent="0.2">
      <c r="A3862" t="str">
        <f>"30/01/2011"</f>
        <v>30/01/2011</v>
      </c>
      <c r="B3862">
        <v>1</v>
      </c>
      <c r="C3862">
        <v>29000</v>
      </c>
      <c r="D3862">
        <v>35323</v>
      </c>
      <c r="E3862">
        <v>29000</v>
      </c>
      <c r="F3862">
        <v>29000</v>
      </c>
      <c r="G3862" s="1">
        <v>2.2499999999999999E-2</v>
      </c>
      <c r="H3862" s="1">
        <v>2.2499999999999999E-2</v>
      </c>
      <c r="I3862" s="1">
        <v>2.2499999999999999E-2</v>
      </c>
      <c r="J3862" s="1">
        <v>0.73929999999999996</v>
      </c>
    </row>
    <row r="3863" spans="1:10" x14ac:dyDescent="0.2">
      <c r="A3863" t="str">
        <f>"27/01/2011"</f>
        <v>27/01/2011</v>
      </c>
      <c r="B3863">
        <v>3</v>
      </c>
      <c r="C3863">
        <v>31000</v>
      </c>
      <c r="D3863">
        <v>29447</v>
      </c>
      <c r="E3863">
        <v>29447</v>
      </c>
      <c r="F3863">
        <v>29447</v>
      </c>
      <c r="G3863" s="1">
        <v>2.2499999999999999E-2</v>
      </c>
      <c r="H3863" s="1">
        <v>2.24E-2</v>
      </c>
      <c r="I3863" s="1">
        <v>2.24E-2</v>
      </c>
      <c r="J3863" s="1">
        <v>1</v>
      </c>
    </row>
    <row r="3864" spans="1:10" x14ac:dyDescent="0.2">
      <c r="A3864" t="str">
        <f>"26/01/2011"</f>
        <v>26/01/2011</v>
      </c>
      <c r="B3864">
        <v>1</v>
      </c>
      <c r="C3864">
        <v>24000</v>
      </c>
      <c r="D3864">
        <v>22420</v>
      </c>
      <c r="E3864">
        <v>22420</v>
      </c>
      <c r="F3864">
        <v>22420</v>
      </c>
      <c r="G3864" s="1">
        <v>0.02</v>
      </c>
      <c r="H3864" s="1">
        <v>1.9900000000000001E-2</v>
      </c>
      <c r="I3864" s="1">
        <v>1.9900000000000001E-2</v>
      </c>
      <c r="J3864" s="1">
        <v>1</v>
      </c>
    </row>
    <row r="3865" spans="1:10" x14ac:dyDescent="0.2">
      <c r="A3865" t="str">
        <f>"25/01/2011"</f>
        <v>25/01/2011</v>
      </c>
      <c r="B3865">
        <v>1</v>
      </c>
      <c r="C3865">
        <v>24000</v>
      </c>
      <c r="D3865">
        <v>60483</v>
      </c>
      <c r="E3865">
        <v>24000</v>
      </c>
      <c r="F3865">
        <v>24000</v>
      </c>
      <c r="G3865" s="1">
        <v>0.02</v>
      </c>
      <c r="H3865" s="1">
        <v>1.9900000000000001E-2</v>
      </c>
      <c r="I3865" s="1">
        <v>1.9900000000000001E-2</v>
      </c>
      <c r="J3865" s="1">
        <v>0.15160000000000001</v>
      </c>
    </row>
    <row r="3866" spans="1:10" x14ac:dyDescent="0.2">
      <c r="A3866" t="str">
        <f>"24/01/2011"</f>
        <v>24/01/2011</v>
      </c>
      <c r="B3866">
        <v>1</v>
      </c>
      <c r="C3866">
        <v>24000</v>
      </c>
      <c r="D3866">
        <v>61583</v>
      </c>
      <c r="E3866">
        <v>24000</v>
      </c>
      <c r="F3866">
        <v>24000</v>
      </c>
      <c r="G3866" s="1">
        <v>0.02</v>
      </c>
      <c r="H3866" s="1">
        <v>1.9900000000000001E-2</v>
      </c>
      <c r="I3866" s="1">
        <v>1.9900000000000001E-2</v>
      </c>
      <c r="J3866" s="1">
        <v>0.13</v>
      </c>
    </row>
    <row r="3867" spans="1:10" x14ac:dyDescent="0.2">
      <c r="A3867" t="str">
        <f>"23/01/2011"</f>
        <v>23/01/2011</v>
      </c>
      <c r="B3867">
        <v>1</v>
      </c>
      <c r="C3867">
        <v>24000</v>
      </c>
      <c r="D3867">
        <v>68633</v>
      </c>
      <c r="E3867">
        <v>24000</v>
      </c>
      <c r="F3867">
        <v>24000</v>
      </c>
      <c r="G3867" s="1">
        <v>0.02</v>
      </c>
      <c r="H3867" s="1">
        <v>1.9900000000000001E-2</v>
      </c>
      <c r="I3867" s="1">
        <v>1.9900000000000001E-2</v>
      </c>
      <c r="J3867" s="1">
        <v>0.1547</v>
      </c>
    </row>
    <row r="3868" spans="1:10" x14ac:dyDescent="0.2">
      <c r="A3868" t="str">
        <f>"20/01/2011"</f>
        <v>20/01/2011</v>
      </c>
      <c r="B3868">
        <v>3</v>
      </c>
      <c r="C3868">
        <v>27000</v>
      </c>
      <c r="D3868">
        <v>58764</v>
      </c>
      <c r="E3868">
        <v>27000</v>
      </c>
      <c r="F3868">
        <v>27000</v>
      </c>
      <c r="G3868" s="1">
        <v>0.02</v>
      </c>
      <c r="H3868" s="1">
        <v>1.9900000000000001E-2</v>
      </c>
      <c r="I3868" s="1">
        <v>1.9900000000000001E-2</v>
      </c>
      <c r="J3868" s="1">
        <v>0.24460000000000001</v>
      </c>
    </row>
    <row r="3869" spans="1:10" x14ac:dyDescent="0.2">
      <c r="A3869" t="str">
        <f>"19/01/2011"</f>
        <v>19/01/2011</v>
      </c>
      <c r="B3869">
        <v>1</v>
      </c>
      <c r="C3869">
        <v>28000</v>
      </c>
      <c r="D3869">
        <v>69165</v>
      </c>
      <c r="E3869">
        <v>28000</v>
      </c>
      <c r="F3869">
        <v>28000</v>
      </c>
      <c r="G3869" s="1">
        <v>0.02</v>
      </c>
      <c r="H3869" s="1">
        <v>0.02</v>
      </c>
      <c r="I3869" s="1">
        <v>0.02</v>
      </c>
      <c r="J3869" s="1">
        <v>0.25829999999999997</v>
      </c>
    </row>
    <row r="3870" spans="1:10" x14ac:dyDescent="0.2">
      <c r="A3870" t="str">
        <f>"18/01/2011"</f>
        <v>18/01/2011</v>
      </c>
      <c r="B3870">
        <v>1</v>
      </c>
      <c r="C3870">
        <v>27000</v>
      </c>
      <c r="D3870">
        <v>55256</v>
      </c>
      <c r="E3870">
        <v>27000</v>
      </c>
      <c r="F3870">
        <v>27000</v>
      </c>
      <c r="G3870" s="1">
        <v>0.02</v>
      </c>
      <c r="H3870" s="1">
        <v>0.02</v>
      </c>
      <c r="I3870" s="1">
        <v>0.02</v>
      </c>
      <c r="J3870" s="1">
        <v>0.3352</v>
      </c>
    </row>
    <row r="3871" spans="1:10" x14ac:dyDescent="0.2">
      <c r="A3871" t="str">
        <f>"17/01/2011"</f>
        <v>17/01/2011</v>
      </c>
      <c r="B3871">
        <v>1</v>
      </c>
      <c r="C3871">
        <v>27000</v>
      </c>
      <c r="D3871">
        <v>44696</v>
      </c>
      <c r="E3871">
        <v>27000</v>
      </c>
      <c r="F3871">
        <v>27000</v>
      </c>
      <c r="G3871" s="1">
        <v>0.02</v>
      </c>
      <c r="H3871" s="1">
        <v>0.02</v>
      </c>
      <c r="I3871" s="1">
        <v>0.02</v>
      </c>
      <c r="J3871" s="1">
        <v>0.45040000000000002</v>
      </c>
    </row>
    <row r="3872" spans="1:10" x14ac:dyDescent="0.2">
      <c r="A3872" t="str">
        <f>"16/01/2011"</f>
        <v>16/01/2011</v>
      </c>
      <c r="B3872">
        <v>1</v>
      </c>
      <c r="C3872">
        <v>36000</v>
      </c>
      <c r="D3872">
        <v>51649</v>
      </c>
      <c r="E3872">
        <v>36000</v>
      </c>
      <c r="F3872">
        <v>36000</v>
      </c>
      <c r="G3872" s="1">
        <v>0.02</v>
      </c>
      <c r="H3872" s="1">
        <v>0.02</v>
      </c>
      <c r="I3872" s="1">
        <v>0.02</v>
      </c>
      <c r="J3872" s="1">
        <v>0.62070000000000003</v>
      </c>
    </row>
    <row r="3873" spans="1:10" x14ac:dyDescent="0.2">
      <c r="A3873" t="str">
        <f>"13/01/2011"</f>
        <v>13/01/2011</v>
      </c>
      <c r="B3873">
        <v>3</v>
      </c>
      <c r="C3873">
        <v>40000</v>
      </c>
      <c r="D3873">
        <v>49266</v>
      </c>
      <c r="E3873">
        <v>40000</v>
      </c>
      <c r="F3873">
        <v>40000</v>
      </c>
      <c r="G3873" s="1">
        <v>0.02</v>
      </c>
      <c r="H3873" s="1">
        <v>0.02</v>
      </c>
      <c r="I3873" s="1">
        <v>0.02</v>
      </c>
      <c r="J3873" s="1">
        <v>0.76149999999999995</v>
      </c>
    </row>
    <row r="3874" spans="1:10" x14ac:dyDescent="0.2">
      <c r="A3874" t="str">
        <f>"12/01/2011"</f>
        <v>12/01/2011</v>
      </c>
      <c r="B3874">
        <v>1</v>
      </c>
      <c r="C3874">
        <v>42000</v>
      </c>
      <c r="D3874">
        <v>51226</v>
      </c>
      <c r="E3874">
        <v>42000</v>
      </c>
      <c r="F3874">
        <v>42000</v>
      </c>
      <c r="G3874" s="1">
        <v>0.02</v>
      </c>
      <c r="H3874" s="1">
        <v>0.02</v>
      </c>
      <c r="I3874" s="1">
        <v>0.02</v>
      </c>
      <c r="J3874" s="1">
        <v>0.78539999999999999</v>
      </c>
    </row>
    <row r="3875" spans="1:10" x14ac:dyDescent="0.2">
      <c r="A3875" t="str">
        <f>"11/01/2011"</f>
        <v>11/01/2011</v>
      </c>
      <c r="B3875">
        <v>1</v>
      </c>
      <c r="C3875">
        <v>42000</v>
      </c>
      <c r="D3875">
        <v>52365</v>
      </c>
      <c r="E3875">
        <v>42000</v>
      </c>
      <c r="F3875">
        <v>42000</v>
      </c>
      <c r="G3875" s="1">
        <v>0.02</v>
      </c>
      <c r="H3875" s="1">
        <v>0.02</v>
      </c>
      <c r="I3875" s="1">
        <v>0.02</v>
      </c>
      <c r="J3875" s="1">
        <v>0.76380000000000003</v>
      </c>
    </row>
    <row r="3876" spans="1:10" x14ac:dyDescent="0.2">
      <c r="A3876" t="str">
        <f>"10/01/2011"</f>
        <v>10/01/2011</v>
      </c>
      <c r="B3876">
        <v>1</v>
      </c>
      <c r="C3876">
        <v>43000</v>
      </c>
      <c r="D3876">
        <v>53870</v>
      </c>
      <c r="E3876">
        <v>43000</v>
      </c>
      <c r="F3876">
        <v>43000</v>
      </c>
      <c r="G3876" s="1">
        <v>0.02</v>
      </c>
      <c r="H3876" s="1">
        <v>0.02</v>
      </c>
      <c r="I3876" s="1">
        <v>0.02</v>
      </c>
      <c r="J3876" s="1">
        <v>0.746</v>
      </c>
    </row>
    <row r="3877" spans="1:10" x14ac:dyDescent="0.2">
      <c r="A3877" t="str">
        <f>"09/01/2011"</f>
        <v>09/01/2011</v>
      </c>
      <c r="B3877">
        <v>1</v>
      </c>
      <c r="C3877">
        <v>43000</v>
      </c>
      <c r="D3877">
        <v>54839</v>
      </c>
      <c r="E3877">
        <v>43000</v>
      </c>
      <c r="F3877">
        <v>43000</v>
      </c>
      <c r="G3877" s="1">
        <v>0.02</v>
      </c>
      <c r="H3877" s="1">
        <v>0.02</v>
      </c>
      <c r="I3877" s="1">
        <v>0.02</v>
      </c>
      <c r="J3877" s="1">
        <v>0.74829999999999997</v>
      </c>
    </row>
    <row r="3878" spans="1:10" x14ac:dyDescent="0.2">
      <c r="A3878" t="str">
        <f>"06/01/2011"</f>
        <v>06/01/2011</v>
      </c>
      <c r="B3878">
        <v>3</v>
      </c>
      <c r="C3878">
        <v>46000</v>
      </c>
      <c r="D3878">
        <v>52935</v>
      </c>
      <c r="E3878">
        <v>46000</v>
      </c>
      <c r="F3878">
        <v>46000</v>
      </c>
      <c r="G3878" s="1">
        <v>0.02</v>
      </c>
      <c r="H3878" s="1">
        <v>0.02</v>
      </c>
      <c r="I3878" s="1">
        <v>0.02</v>
      </c>
      <c r="J3878" s="1">
        <v>0.84430000000000005</v>
      </c>
    </row>
    <row r="3879" spans="1:10" x14ac:dyDescent="0.2">
      <c r="A3879" t="str">
        <f>"05/01/2011"</f>
        <v>05/01/2011</v>
      </c>
      <c r="B3879">
        <v>1</v>
      </c>
      <c r="C3879">
        <v>50000</v>
      </c>
      <c r="D3879">
        <v>61768</v>
      </c>
      <c r="E3879">
        <v>50000</v>
      </c>
      <c r="F3879">
        <v>50000</v>
      </c>
      <c r="G3879" s="1">
        <v>0.02</v>
      </c>
      <c r="H3879" s="1">
        <v>0.02</v>
      </c>
      <c r="I3879" s="1">
        <v>0.02</v>
      </c>
      <c r="J3879" s="1">
        <v>0.76639999999999997</v>
      </c>
    </row>
    <row r="3880" spans="1:10" x14ac:dyDescent="0.2">
      <c r="A3880" t="str">
        <f>"04/01/2011"</f>
        <v>04/01/2011</v>
      </c>
      <c r="B3880">
        <v>1</v>
      </c>
      <c r="C3880">
        <v>48000</v>
      </c>
      <c r="D3880">
        <v>58419</v>
      </c>
      <c r="E3880">
        <v>48000</v>
      </c>
      <c r="F3880">
        <v>48000</v>
      </c>
      <c r="G3880" s="1">
        <v>0.02</v>
      </c>
      <c r="H3880" s="1">
        <v>0.02</v>
      </c>
      <c r="I3880" s="1">
        <v>0.02</v>
      </c>
      <c r="J3880" s="1">
        <v>0.77680000000000005</v>
      </c>
    </row>
    <row r="3881" spans="1:10" x14ac:dyDescent="0.2">
      <c r="A3881" t="str">
        <f>"03/01/2011"</f>
        <v>03/01/2011</v>
      </c>
      <c r="B3881">
        <v>1</v>
      </c>
      <c r="C3881">
        <v>48000</v>
      </c>
      <c r="D3881">
        <v>59391</v>
      </c>
      <c r="E3881">
        <v>48000</v>
      </c>
      <c r="F3881">
        <v>48000</v>
      </c>
      <c r="G3881" s="1">
        <v>0.02</v>
      </c>
      <c r="H3881" s="1">
        <v>0.02</v>
      </c>
      <c r="I3881" s="1">
        <v>0.02</v>
      </c>
      <c r="J3881" s="1">
        <v>0.77349999999999997</v>
      </c>
    </row>
    <row r="3882" spans="1:10" x14ac:dyDescent="0.2">
      <c r="A3882" t="str">
        <f>"02/01/2011"</f>
        <v>02/01/2011</v>
      </c>
      <c r="B3882">
        <v>1</v>
      </c>
      <c r="C3882">
        <v>47500</v>
      </c>
      <c r="D3882">
        <v>57572</v>
      </c>
      <c r="E3882">
        <v>47500</v>
      </c>
      <c r="F3882">
        <v>47500</v>
      </c>
      <c r="G3882" s="1">
        <v>0.02</v>
      </c>
      <c r="H3882" s="1">
        <v>0.02</v>
      </c>
      <c r="I3882" s="1">
        <v>0.02</v>
      </c>
      <c r="J3882" s="1">
        <v>0.78339999999999999</v>
      </c>
    </row>
    <row r="3883" spans="1:10" x14ac:dyDescent="0.2">
      <c r="A3883" t="str">
        <f>"30/12/2010"</f>
        <v>30/12/2010</v>
      </c>
      <c r="B3883">
        <v>3</v>
      </c>
      <c r="C3883">
        <v>40000</v>
      </c>
      <c r="D3883">
        <v>33365</v>
      </c>
      <c r="E3883">
        <v>33365</v>
      </c>
      <c r="F3883">
        <v>33365</v>
      </c>
      <c r="G3883" s="1">
        <v>0.02</v>
      </c>
      <c r="H3883" s="1">
        <v>0.02</v>
      </c>
      <c r="I3883" s="1">
        <v>0.02</v>
      </c>
      <c r="J3883" s="1">
        <v>1</v>
      </c>
    </row>
    <row r="3884" spans="1:10" x14ac:dyDescent="0.2">
      <c r="A3884" t="str">
        <f>"29/12/2010"</f>
        <v>29/12/2010</v>
      </c>
      <c r="B3884">
        <v>1</v>
      </c>
      <c r="C3884">
        <v>42000</v>
      </c>
      <c r="D3884">
        <v>36062</v>
      </c>
      <c r="E3884">
        <v>36062</v>
      </c>
      <c r="F3884">
        <v>36062</v>
      </c>
      <c r="G3884" s="1">
        <v>0.02</v>
      </c>
      <c r="H3884" s="1">
        <v>1.9900000000000001E-2</v>
      </c>
      <c r="I3884" s="1">
        <v>1.9900000000000001E-2</v>
      </c>
      <c r="J3884" s="1">
        <v>1</v>
      </c>
    </row>
    <row r="3885" spans="1:10" x14ac:dyDescent="0.2">
      <c r="A3885" t="str">
        <f>"28/12/2010"</f>
        <v>28/12/2010</v>
      </c>
      <c r="B3885">
        <v>1</v>
      </c>
      <c r="C3885">
        <v>30000</v>
      </c>
      <c r="D3885">
        <v>62700</v>
      </c>
      <c r="E3885">
        <v>30000</v>
      </c>
      <c r="F3885">
        <v>30000</v>
      </c>
      <c r="G3885" s="1">
        <v>0.02</v>
      </c>
      <c r="H3885" s="1">
        <v>1.9900000000000001E-2</v>
      </c>
      <c r="I3885" s="1">
        <v>1.9900000000000001E-2</v>
      </c>
      <c r="J3885" s="1">
        <v>0.35499999999999998</v>
      </c>
    </row>
    <row r="3886" spans="1:10" x14ac:dyDescent="0.2">
      <c r="A3886" t="str">
        <f>"27/12/2010"</f>
        <v>27/12/2010</v>
      </c>
      <c r="B3886">
        <v>1</v>
      </c>
      <c r="C3886">
        <v>30000</v>
      </c>
      <c r="D3886">
        <v>54937</v>
      </c>
      <c r="E3886">
        <v>30000</v>
      </c>
      <c r="F3886">
        <v>30000</v>
      </c>
      <c r="G3886" s="1">
        <v>0.02</v>
      </c>
      <c r="H3886" s="1">
        <v>1.9900000000000001E-2</v>
      </c>
      <c r="I3886" s="1">
        <v>1.9900000000000001E-2</v>
      </c>
      <c r="J3886" s="1">
        <v>0.43330000000000002</v>
      </c>
    </row>
    <row r="3887" spans="1:10" x14ac:dyDescent="0.2">
      <c r="A3887" t="str">
        <f>"26/12/2010"</f>
        <v>26/12/2010</v>
      </c>
      <c r="B3887">
        <v>1</v>
      </c>
      <c r="C3887">
        <v>28500</v>
      </c>
      <c r="D3887">
        <v>48051</v>
      </c>
      <c r="E3887">
        <v>28500</v>
      </c>
      <c r="F3887">
        <v>28500</v>
      </c>
      <c r="G3887" s="1">
        <v>0.02</v>
      </c>
      <c r="H3887" s="1">
        <v>0.02</v>
      </c>
      <c r="I3887" s="1">
        <v>0.02</v>
      </c>
      <c r="J3887" s="1">
        <v>0.48139999999999999</v>
      </c>
    </row>
    <row r="3888" spans="1:10" x14ac:dyDescent="0.2">
      <c r="A3888" t="str">
        <f>"23/12/2010"</f>
        <v>23/12/2010</v>
      </c>
      <c r="B3888">
        <v>3</v>
      </c>
      <c r="C3888">
        <v>29500</v>
      </c>
      <c r="D3888">
        <v>45620</v>
      </c>
      <c r="E3888">
        <v>29500</v>
      </c>
      <c r="F3888">
        <v>29500</v>
      </c>
      <c r="G3888" s="1">
        <v>0.02</v>
      </c>
      <c r="H3888" s="1">
        <v>0.02</v>
      </c>
      <c r="I3888" s="1">
        <v>0.02</v>
      </c>
      <c r="J3888" s="1">
        <v>0.50700000000000001</v>
      </c>
    </row>
    <row r="3889" spans="1:10" x14ac:dyDescent="0.2">
      <c r="A3889" t="str">
        <f>"22/12/2010"</f>
        <v>22/12/2010</v>
      </c>
      <c r="B3889">
        <v>1</v>
      </c>
      <c r="C3889">
        <v>27500</v>
      </c>
      <c r="D3889">
        <v>49839</v>
      </c>
      <c r="E3889">
        <v>27500</v>
      </c>
      <c r="F3889">
        <v>27500</v>
      </c>
      <c r="G3889" s="1">
        <v>0.02</v>
      </c>
      <c r="H3889" s="1">
        <v>0.02</v>
      </c>
      <c r="I3889" s="1">
        <v>0.02</v>
      </c>
      <c r="J3889" s="1">
        <v>0.38429999999999997</v>
      </c>
    </row>
    <row r="3890" spans="1:10" x14ac:dyDescent="0.2">
      <c r="A3890" t="str">
        <f>"21/12/2010"</f>
        <v>21/12/2010</v>
      </c>
      <c r="B3890">
        <v>1</v>
      </c>
      <c r="C3890">
        <v>26000</v>
      </c>
      <c r="D3890">
        <v>55035</v>
      </c>
      <c r="E3890">
        <v>26000</v>
      </c>
      <c r="F3890">
        <v>26000</v>
      </c>
      <c r="G3890" s="1">
        <v>0.02</v>
      </c>
      <c r="H3890" s="1">
        <v>1.9900000000000001E-2</v>
      </c>
      <c r="I3890" s="1">
        <v>1.9900000000000001E-2</v>
      </c>
      <c r="J3890" s="1">
        <v>0.30890000000000001</v>
      </c>
    </row>
    <row r="3891" spans="1:10" x14ac:dyDescent="0.2">
      <c r="A3891" t="str">
        <f>"20/12/2010"</f>
        <v>20/12/2010</v>
      </c>
      <c r="B3891">
        <v>1</v>
      </c>
      <c r="C3891">
        <v>27000</v>
      </c>
      <c r="D3891">
        <v>66817</v>
      </c>
      <c r="E3891">
        <v>27000</v>
      </c>
      <c r="F3891">
        <v>27000</v>
      </c>
      <c r="G3891" s="1">
        <v>0.02</v>
      </c>
      <c r="H3891" s="1">
        <v>0.02</v>
      </c>
      <c r="I3891" s="1">
        <v>0.02</v>
      </c>
      <c r="J3891" s="1">
        <v>0.2873</v>
      </c>
    </row>
    <row r="3892" spans="1:10" x14ac:dyDescent="0.2">
      <c r="A3892" t="str">
        <f>"19/12/2010"</f>
        <v>19/12/2010</v>
      </c>
      <c r="B3892">
        <v>1</v>
      </c>
      <c r="C3892">
        <v>27500</v>
      </c>
      <c r="D3892">
        <v>59320</v>
      </c>
      <c r="E3892">
        <v>27500</v>
      </c>
      <c r="F3892">
        <v>27500</v>
      </c>
      <c r="G3892" s="1">
        <v>0.02</v>
      </c>
      <c r="H3892" s="1">
        <v>0.02</v>
      </c>
      <c r="I3892" s="1">
        <v>0.02</v>
      </c>
      <c r="J3892" s="1">
        <v>0.32340000000000002</v>
      </c>
    </row>
    <row r="3893" spans="1:10" x14ac:dyDescent="0.2">
      <c r="A3893" t="str">
        <f>"16/12/2010"</f>
        <v>16/12/2010</v>
      </c>
      <c r="B3893">
        <v>3</v>
      </c>
      <c r="C3893">
        <v>28000</v>
      </c>
      <c r="D3893">
        <v>52074</v>
      </c>
      <c r="E3893">
        <v>28000</v>
      </c>
      <c r="F3893">
        <v>28000</v>
      </c>
      <c r="G3893" s="1">
        <v>0.02</v>
      </c>
      <c r="H3893" s="1">
        <v>0.02</v>
      </c>
      <c r="I3893" s="1">
        <v>0.02</v>
      </c>
      <c r="J3893" s="1">
        <v>0.4501</v>
      </c>
    </row>
    <row r="3894" spans="1:10" x14ac:dyDescent="0.2">
      <c r="A3894" t="str">
        <f>"15/12/2010"</f>
        <v>15/12/2010</v>
      </c>
      <c r="B3894">
        <v>1</v>
      </c>
      <c r="C3894">
        <v>36500</v>
      </c>
      <c r="D3894">
        <v>55537</v>
      </c>
      <c r="E3894">
        <v>36500</v>
      </c>
      <c r="F3894">
        <v>36500</v>
      </c>
      <c r="G3894" s="1">
        <v>0.02</v>
      </c>
      <c r="H3894" s="1">
        <v>0.02</v>
      </c>
      <c r="I3894" s="1">
        <v>0.02</v>
      </c>
      <c r="J3894" s="1">
        <v>0.58309999999999995</v>
      </c>
    </row>
    <row r="3895" spans="1:10" x14ac:dyDescent="0.2">
      <c r="A3895" t="str">
        <f>"14/12/2010"</f>
        <v>14/12/2010</v>
      </c>
      <c r="B3895">
        <v>1</v>
      </c>
      <c r="C3895">
        <v>36000</v>
      </c>
      <c r="D3895">
        <v>48247</v>
      </c>
      <c r="E3895">
        <v>36000</v>
      </c>
      <c r="F3895">
        <v>36000</v>
      </c>
      <c r="G3895" s="1">
        <v>0.02</v>
      </c>
      <c r="H3895" s="1">
        <v>0.02</v>
      </c>
      <c r="I3895" s="1">
        <v>0.02</v>
      </c>
      <c r="J3895" s="1">
        <v>0.66820000000000002</v>
      </c>
    </row>
    <row r="3896" spans="1:10" x14ac:dyDescent="0.2">
      <c r="A3896" t="str">
        <f>"13/12/2010"</f>
        <v>13/12/2010</v>
      </c>
      <c r="B3896">
        <v>1</v>
      </c>
      <c r="C3896">
        <v>37000</v>
      </c>
      <c r="D3896">
        <v>45423</v>
      </c>
      <c r="E3896">
        <v>37000</v>
      </c>
      <c r="F3896">
        <v>37000</v>
      </c>
      <c r="G3896" s="1">
        <v>0.02</v>
      </c>
      <c r="H3896" s="1">
        <v>0.02</v>
      </c>
      <c r="I3896" s="1">
        <v>0.02</v>
      </c>
      <c r="J3896" s="1">
        <v>0.77629999999999999</v>
      </c>
    </row>
    <row r="3897" spans="1:10" x14ac:dyDescent="0.2">
      <c r="A3897" t="str">
        <f>"12/12/2010"</f>
        <v>12/12/2010</v>
      </c>
      <c r="B3897">
        <v>1</v>
      </c>
      <c r="C3897">
        <v>37000</v>
      </c>
      <c r="D3897">
        <v>42450</v>
      </c>
      <c r="E3897">
        <v>37000</v>
      </c>
      <c r="F3897">
        <v>37000</v>
      </c>
      <c r="G3897" s="1">
        <v>0.02</v>
      </c>
      <c r="H3897" s="1">
        <v>0.02</v>
      </c>
      <c r="I3897" s="1">
        <v>0.02</v>
      </c>
      <c r="J3897" s="1">
        <v>0.83479999999999999</v>
      </c>
    </row>
    <row r="3898" spans="1:10" x14ac:dyDescent="0.2">
      <c r="A3898" t="str">
        <f>"09/12/2010"</f>
        <v>09/12/2010</v>
      </c>
      <c r="B3898">
        <v>3</v>
      </c>
      <c r="C3898">
        <v>37000</v>
      </c>
      <c r="D3898">
        <v>41449</v>
      </c>
      <c r="E3898">
        <v>37000</v>
      </c>
      <c r="F3898">
        <v>37000</v>
      </c>
      <c r="G3898" s="1">
        <v>0.02</v>
      </c>
      <c r="H3898" s="1">
        <v>0.02</v>
      </c>
      <c r="I3898" s="1">
        <v>0.02</v>
      </c>
      <c r="J3898" s="1">
        <v>0.84509999999999996</v>
      </c>
    </row>
    <row r="3899" spans="1:10" x14ac:dyDescent="0.2">
      <c r="A3899" t="str">
        <f>"08/12/2010"</f>
        <v>08/12/2010</v>
      </c>
      <c r="B3899">
        <v>1</v>
      </c>
      <c r="C3899">
        <v>36500</v>
      </c>
      <c r="D3899">
        <v>40425</v>
      </c>
      <c r="E3899">
        <v>36500</v>
      </c>
      <c r="F3899">
        <v>36500</v>
      </c>
      <c r="G3899" s="1">
        <v>0.02</v>
      </c>
      <c r="H3899" s="1">
        <v>0.02</v>
      </c>
      <c r="I3899" s="1">
        <v>0.02</v>
      </c>
      <c r="J3899" s="1">
        <v>0.87</v>
      </c>
    </row>
    <row r="3900" spans="1:10" x14ac:dyDescent="0.2">
      <c r="A3900" t="str">
        <f>"07/12/2010"</f>
        <v>07/12/2010</v>
      </c>
      <c r="B3900">
        <v>1</v>
      </c>
      <c r="C3900">
        <v>47500</v>
      </c>
      <c r="D3900">
        <v>44312</v>
      </c>
      <c r="E3900">
        <v>44312</v>
      </c>
      <c r="F3900">
        <v>44312</v>
      </c>
      <c r="G3900" s="1">
        <v>0.02</v>
      </c>
      <c r="H3900" s="1">
        <v>0.02</v>
      </c>
      <c r="I3900" s="1">
        <v>0.02</v>
      </c>
      <c r="J3900" s="1">
        <v>1</v>
      </c>
    </row>
    <row r="3901" spans="1:10" x14ac:dyDescent="0.2">
      <c r="A3901" t="str">
        <f>"06/12/2010"</f>
        <v>06/12/2010</v>
      </c>
      <c r="B3901">
        <v>1</v>
      </c>
      <c r="C3901">
        <v>48000</v>
      </c>
      <c r="D3901">
        <v>49889</v>
      </c>
      <c r="E3901">
        <v>48000</v>
      </c>
      <c r="F3901">
        <v>48000</v>
      </c>
      <c r="G3901" s="1">
        <v>0.02</v>
      </c>
      <c r="H3901" s="1">
        <v>0.02</v>
      </c>
      <c r="I3901" s="1">
        <v>0.02</v>
      </c>
      <c r="J3901" s="1">
        <v>0.95020000000000004</v>
      </c>
    </row>
    <row r="3902" spans="1:10" x14ac:dyDescent="0.2">
      <c r="A3902" t="str">
        <f>"05/12/2010"</f>
        <v>05/12/2010</v>
      </c>
      <c r="B3902">
        <v>1</v>
      </c>
      <c r="C3902">
        <v>47000</v>
      </c>
      <c r="D3902">
        <v>53998</v>
      </c>
      <c r="E3902">
        <v>47000</v>
      </c>
      <c r="F3902">
        <v>47000</v>
      </c>
      <c r="G3902" s="1">
        <v>0.02</v>
      </c>
      <c r="H3902" s="1">
        <v>0.02</v>
      </c>
      <c r="I3902" s="1">
        <v>0.02</v>
      </c>
      <c r="J3902" s="1">
        <v>0.84209999999999996</v>
      </c>
    </row>
    <row r="3903" spans="1:10" x14ac:dyDescent="0.2">
      <c r="A3903" t="str">
        <f>"02/12/2010"</f>
        <v>02/12/2010</v>
      </c>
      <c r="B3903">
        <v>3</v>
      </c>
      <c r="C3903">
        <v>47000</v>
      </c>
      <c r="D3903">
        <v>56925</v>
      </c>
      <c r="E3903">
        <v>47000</v>
      </c>
      <c r="F3903">
        <v>47000</v>
      </c>
      <c r="G3903" s="1">
        <v>0.02</v>
      </c>
      <c r="H3903" s="1">
        <v>0.02</v>
      </c>
      <c r="I3903" s="1">
        <v>0.02</v>
      </c>
      <c r="J3903" s="1">
        <v>0.78969999999999996</v>
      </c>
    </row>
    <row r="3904" spans="1:10" x14ac:dyDescent="0.2">
      <c r="A3904" t="str">
        <f>"01/12/2010"</f>
        <v>01/12/2010</v>
      </c>
      <c r="B3904">
        <v>1</v>
      </c>
      <c r="C3904">
        <v>48000</v>
      </c>
      <c r="D3904">
        <v>62986</v>
      </c>
      <c r="E3904">
        <v>48000</v>
      </c>
      <c r="F3904">
        <v>48000</v>
      </c>
      <c r="G3904" s="1">
        <v>0.02</v>
      </c>
      <c r="H3904" s="1">
        <v>0.02</v>
      </c>
      <c r="I3904" s="1">
        <v>0.02</v>
      </c>
      <c r="J3904" s="1">
        <v>0.71830000000000005</v>
      </c>
    </row>
    <row r="3905" spans="1:10" x14ac:dyDescent="0.2">
      <c r="A3905" t="str">
        <f>"30/11/2010"</f>
        <v>30/11/2010</v>
      </c>
      <c r="B3905">
        <v>1</v>
      </c>
      <c r="C3905">
        <v>29500</v>
      </c>
      <c r="D3905">
        <v>37603</v>
      </c>
      <c r="E3905">
        <v>29500</v>
      </c>
      <c r="F3905">
        <v>29500</v>
      </c>
      <c r="G3905" s="1">
        <v>0.02</v>
      </c>
      <c r="H3905" s="1">
        <v>0.02</v>
      </c>
      <c r="I3905" s="1">
        <v>0.02</v>
      </c>
      <c r="J3905" s="1">
        <v>0.71870000000000001</v>
      </c>
    </row>
    <row r="3906" spans="1:10" x14ac:dyDescent="0.2">
      <c r="A3906" t="str">
        <f>"29/11/2010"</f>
        <v>29/11/2010</v>
      </c>
      <c r="B3906">
        <v>1</v>
      </c>
      <c r="C3906">
        <v>30000</v>
      </c>
      <c r="D3906">
        <v>36412</v>
      </c>
      <c r="E3906">
        <v>30000</v>
      </c>
      <c r="F3906">
        <v>30000</v>
      </c>
      <c r="G3906" s="1">
        <v>0.02</v>
      </c>
      <c r="H3906" s="1">
        <v>0.02</v>
      </c>
      <c r="I3906" s="1">
        <v>0.02</v>
      </c>
      <c r="J3906" s="1">
        <v>0.77200000000000002</v>
      </c>
    </row>
    <row r="3907" spans="1:10" x14ac:dyDescent="0.2">
      <c r="A3907" t="str">
        <f>"28/11/2010"</f>
        <v>28/11/2010</v>
      </c>
      <c r="B3907">
        <v>1</v>
      </c>
      <c r="C3907">
        <v>29500</v>
      </c>
      <c r="D3907">
        <v>37306</v>
      </c>
      <c r="E3907">
        <v>29500</v>
      </c>
      <c r="F3907">
        <v>29500</v>
      </c>
      <c r="G3907" s="1">
        <v>0.02</v>
      </c>
      <c r="H3907" s="1">
        <v>0.02</v>
      </c>
      <c r="I3907" s="1">
        <v>0.02</v>
      </c>
      <c r="J3907" s="1">
        <v>0.72560000000000002</v>
      </c>
    </row>
    <row r="3908" spans="1:10" x14ac:dyDescent="0.2">
      <c r="A3908" t="str">
        <f>"25/11/2010"</f>
        <v>25/11/2010</v>
      </c>
      <c r="B3908">
        <v>3</v>
      </c>
      <c r="C3908">
        <v>27500</v>
      </c>
      <c r="D3908">
        <v>33199</v>
      </c>
      <c r="E3908">
        <v>27500</v>
      </c>
      <c r="F3908">
        <v>27500</v>
      </c>
      <c r="G3908" s="1">
        <v>0.02</v>
      </c>
      <c r="H3908" s="1">
        <v>0.02</v>
      </c>
      <c r="I3908" s="1">
        <v>0.02</v>
      </c>
      <c r="J3908" s="1">
        <v>0.76880000000000004</v>
      </c>
    </row>
    <row r="3909" spans="1:10" x14ac:dyDescent="0.2">
      <c r="A3909" t="str">
        <f>"24/11/2010"</f>
        <v>24/11/2010</v>
      </c>
      <c r="B3909">
        <v>1</v>
      </c>
      <c r="C3909">
        <v>21500</v>
      </c>
      <c r="D3909">
        <v>19026</v>
      </c>
      <c r="E3909">
        <v>19026</v>
      </c>
      <c r="F3909">
        <v>19026</v>
      </c>
      <c r="G3909" s="1">
        <v>0.02</v>
      </c>
      <c r="H3909" s="1">
        <v>1.9900000000000001E-2</v>
      </c>
      <c r="I3909" s="1">
        <v>1.9900000000000001E-2</v>
      </c>
      <c r="J3909" s="1">
        <v>1</v>
      </c>
    </row>
    <row r="3910" spans="1:10" x14ac:dyDescent="0.2">
      <c r="A3910" t="str">
        <f>"23/11/2010"</f>
        <v>23/11/2010</v>
      </c>
      <c r="B3910">
        <v>1</v>
      </c>
      <c r="C3910">
        <v>21000</v>
      </c>
      <c r="D3910">
        <v>32219</v>
      </c>
      <c r="E3910">
        <v>21000</v>
      </c>
      <c r="F3910">
        <v>21000</v>
      </c>
      <c r="G3910" s="1">
        <v>0.02</v>
      </c>
      <c r="H3910" s="1">
        <v>1.9900000000000001E-2</v>
      </c>
      <c r="I3910" s="1">
        <v>1.9900000000000001E-2</v>
      </c>
      <c r="J3910" s="1">
        <v>0.51749999999999996</v>
      </c>
    </row>
    <row r="3911" spans="1:10" x14ac:dyDescent="0.2">
      <c r="A3911" t="str">
        <f>"22/11/2010"</f>
        <v>22/11/2010</v>
      </c>
      <c r="B3911">
        <v>1</v>
      </c>
      <c r="C3911">
        <v>22500</v>
      </c>
      <c r="D3911">
        <v>36337</v>
      </c>
      <c r="E3911">
        <v>22500</v>
      </c>
      <c r="F3911">
        <v>22500</v>
      </c>
      <c r="G3911" s="1">
        <v>0.02</v>
      </c>
      <c r="H3911" s="1">
        <v>1.9900000000000001E-2</v>
      </c>
      <c r="I3911" s="1">
        <v>1.9900000000000001E-2</v>
      </c>
      <c r="J3911" s="1">
        <v>0.41120000000000001</v>
      </c>
    </row>
    <row r="3912" spans="1:10" x14ac:dyDescent="0.2">
      <c r="A3912" t="str">
        <f>"21/11/2010"</f>
        <v>21/11/2010</v>
      </c>
      <c r="B3912">
        <v>1</v>
      </c>
      <c r="C3912">
        <v>23500</v>
      </c>
      <c r="D3912">
        <v>42536</v>
      </c>
      <c r="E3912">
        <v>23500</v>
      </c>
      <c r="F3912">
        <v>23500</v>
      </c>
      <c r="G3912" s="1">
        <v>0.02</v>
      </c>
      <c r="H3912" s="1">
        <v>1.9900000000000001E-2</v>
      </c>
      <c r="I3912" s="1">
        <v>1.9900000000000001E-2</v>
      </c>
      <c r="J3912" s="1">
        <v>0.26779999999999998</v>
      </c>
    </row>
    <row r="3913" spans="1:10" x14ac:dyDescent="0.2">
      <c r="A3913" t="str">
        <f>"18/11/2010"</f>
        <v>18/11/2010</v>
      </c>
      <c r="B3913">
        <v>3</v>
      </c>
      <c r="C3913">
        <v>25000</v>
      </c>
      <c r="D3913">
        <v>47595</v>
      </c>
      <c r="E3913">
        <v>25000</v>
      </c>
      <c r="F3913">
        <v>25000</v>
      </c>
      <c r="G3913" s="1">
        <v>0.02</v>
      </c>
      <c r="H3913" s="1">
        <v>1.9900000000000001E-2</v>
      </c>
      <c r="I3913" s="1">
        <v>1.9900000000000001E-2</v>
      </c>
      <c r="J3913" s="1">
        <v>0.32550000000000001</v>
      </c>
    </row>
    <row r="3914" spans="1:10" x14ac:dyDescent="0.2">
      <c r="A3914" t="str">
        <f>"17/11/2010"</f>
        <v>17/11/2010</v>
      </c>
      <c r="B3914">
        <v>1</v>
      </c>
      <c r="C3914">
        <v>25500</v>
      </c>
      <c r="D3914">
        <v>51775</v>
      </c>
      <c r="E3914">
        <v>25500</v>
      </c>
      <c r="F3914">
        <v>25500</v>
      </c>
      <c r="G3914" s="1">
        <v>0.02</v>
      </c>
      <c r="H3914" s="1">
        <v>0.02</v>
      </c>
      <c r="I3914" s="1">
        <v>0.02</v>
      </c>
      <c r="J3914" s="1">
        <v>0.36530000000000001</v>
      </c>
    </row>
    <row r="3915" spans="1:10" x14ac:dyDescent="0.2">
      <c r="A3915" t="str">
        <f>"16/11/2010"</f>
        <v>16/11/2010</v>
      </c>
      <c r="B3915">
        <v>1</v>
      </c>
      <c r="C3915">
        <v>25500</v>
      </c>
      <c r="D3915">
        <v>52652</v>
      </c>
      <c r="E3915">
        <v>25500</v>
      </c>
      <c r="F3915">
        <v>25500</v>
      </c>
      <c r="G3915" s="1">
        <v>0.02</v>
      </c>
      <c r="H3915" s="1">
        <v>0.02</v>
      </c>
      <c r="I3915" s="1">
        <v>0.02</v>
      </c>
      <c r="J3915" s="1">
        <v>0.37580000000000002</v>
      </c>
    </row>
    <row r="3916" spans="1:10" x14ac:dyDescent="0.2">
      <c r="A3916" t="str">
        <f>"15/11/2010"</f>
        <v>15/11/2010</v>
      </c>
      <c r="B3916">
        <v>1</v>
      </c>
      <c r="C3916">
        <v>36500</v>
      </c>
      <c r="D3916">
        <v>69870</v>
      </c>
      <c r="E3916">
        <v>36500</v>
      </c>
      <c r="F3916">
        <v>36500</v>
      </c>
      <c r="G3916" s="1">
        <v>0.02</v>
      </c>
      <c r="H3916" s="1">
        <v>0.02</v>
      </c>
      <c r="I3916" s="1">
        <v>0.02</v>
      </c>
      <c r="J3916" s="1">
        <v>0.44750000000000001</v>
      </c>
    </row>
    <row r="3917" spans="1:10" x14ac:dyDescent="0.2">
      <c r="A3917" t="str">
        <f>"14/11/2010"</f>
        <v>14/11/2010</v>
      </c>
      <c r="B3917">
        <v>1</v>
      </c>
      <c r="C3917">
        <v>36500</v>
      </c>
      <c r="D3917">
        <v>63428</v>
      </c>
      <c r="E3917">
        <v>36500</v>
      </c>
      <c r="F3917">
        <v>36500</v>
      </c>
      <c r="G3917" s="1">
        <v>0.02</v>
      </c>
      <c r="H3917" s="1">
        <v>0.02</v>
      </c>
      <c r="I3917" s="1">
        <v>0.02</v>
      </c>
      <c r="J3917" s="1">
        <v>0.51239999999999997</v>
      </c>
    </row>
    <row r="3918" spans="1:10" x14ac:dyDescent="0.2">
      <c r="A3918" t="str">
        <f>"11/11/2010"</f>
        <v>11/11/2010</v>
      </c>
      <c r="B3918">
        <v>3</v>
      </c>
      <c r="C3918">
        <v>37000</v>
      </c>
      <c r="D3918">
        <v>52310</v>
      </c>
      <c r="E3918">
        <v>37000</v>
      </c>
      <c r="F3918">
        <v>37000</v>
      </c>
      <c r="G3918" s="1">
        <v>0.02</v>
      </c>
      <c r="H3918" s="1">
        <v>0.02</v>
      </c>
      <c r="I3918" s="1">
        <v>0.02</v>
      </c>
      <c r="J3918" s="1">
        <v>0.625</v>
      </c>
    </row>
    <row r="3919" spans="1:10" x14ac:dyDescent="0.2">
      <c r="A3919" t="str">
        <f>"10/11/2010"</f>
        <v>10/11/2010</v>
      </c>
      <c r="B3919">
        <v>1</v>
      </c>
      <c r="C3919">
        <v>42000</v>
      </c>
      <c r="D3919">
        <v>56372</v>
      </c>
      <c r="E3919">
        <v>42000</v>
      </c>
      <c r="F3919">
        <v>42000</v>
      </c>
      <c r="G3919" s="1">
        <v>0.02</v>
      </c>
      <c r="H3919" s="1">
        <v>0.02</v>
      </c>
      <c r="I3919" s="1">
        <v>0.02</v>
      </c>
      <c r="J3919" s="1">
        <v>0.69379999999999997</v>
      </c>
    </row>
    <row r="3920" spans="1:10" x14ac:dyDescent="0.2">
      <c r="A3920" t="str">
        <f>"09/11/2010"</f>
        <v>09/11/2010</v>
      </c>
      <c r="B3920">
        <v>1</v>
      </c>
      <c r="C3920">
        <v>41500</v>
      </c>
      <c r="D3920">
        <v>56648</v>
      </c>
      <c r="E3920">
        <v>41500</v>
      </c>
      <c r="F3920">
        <v>41500</v>
      </c>
      <c r="G3920" s="1">
        <v>0.02</v>
      </c>
      <c r="H3920" s="1">
        <v>0.02</v>
      </c>
      <c r="I3920" s="1">
        <v>0.02</v>
      </c>
      <c r="J3920" s="1">
        <v>0.68700000000000006</v>
      </c>
    </row>
    <row r="3921" spans="1:10" x14ac:dyDescent="0.2">
      <c r="A3921" t="str">
        <f>"08/11/2010"</f>
        <v>08/11/2010</v>
      </c>
      <c r="B3921">
        <v>1</v>
      </c>
      <c r="C3921">
        <v>42000</v>
      </c>
      <c r="D3921">
        <v>57188</v>
      </c>
      <c r="E3921">
        <v>42000</v>
      </c>
      <c r="F3921">
        <v>42000</v>
      </c>
      <c r="G3921" s="1">
        <v>0.02</v>
      </c>
      <c r="H3921" s="1">
        <v>0.02</v>
      </c>
      <c r="I3921" s="1">
        <v>0.02</v>
      </c>
      <c r="J3921" s="1">
        <v>0.69089999999999996</v>
      </c>
    </row>
    <row r="3922" spans="1:10" x14ac:dyDescent="0.2">
      <c r="A3922" t="str">
        <f>"07/11/2010"</f>
        <v>07/11/2010</v>
      </c>
      <c r="B3922">
        <v>1</v>
      </c>
      <c r="C3922">
        <v>42000</v>
      </c>
      <c r="D3922">
        <v>56484</v>
      </c>
      <c r="E3922">
        <v>42000</v>
      </c>
      <c r="F3922">
        <v>42000</v>
      </c>
      <c r="G3922" s="1">
        <v>0.02</v>
      </c>
      <c r="H3922" s="1">
        <v>0.02</v>
      </c>
      <c r="I3922" s="1">
        <v>0.02</v>
      </c>
      <c r="J3922" s="1">
        <v>0.7046</v>
      </c>
    </row>
    <row r="3923" spans="1:10" x14ac:dyDescent="0.2">
      <c r="A3923" t="str">
        <f>"04/11/2010"</f>
        <v>04/11/2010</v>
      </c>
      <c r="B3923">
        <v>3</v>
      </c>
      <c r="C3923">
        <v>42000</v>
      </c>
      <c r="D3923">
        <v>54050</v>
      </c>
      <c r="E3923">
        <v>42000</v>
      </c>
      <c r="F3923">
        <v>42000</v>
      </c>
      <c r="G3923" s="1">
        <v>0.02</v>
      </c>
      <c r="H3923" s="1">
        <v>0.02</v>
      </c>
      <c r="I3923" s="1">
        <v>0.02</v>
      </c>
      <c r="J3923" s="1">
        <v>0.73240000000000005</v>
      </c>
    </row>
    <row r="3924" spans="1:10" x14ac:dyDescent="0.2">
      <c r="A3924" t="str">
        <f>"03/11/2010"</f>
        <v>03/11/2010</v>
      </c>
      <c r="B3924">
        <v>1</v>
      </c>
      <c r="C3924">
        <v>42000</v>
      </c>
      <c r="D3924">
        <v>57290</v>
      </c>
      <c r="E3924">
        <v>42000</v>
      </c>
      <c r="F3924">
        <v>42000</v>
      </c>
      <c r="G3924" s="1">
        <v>0.02</v>
      </c>
      <c r="H3924" s="1">
        <v>0.02</v>
      </c>
      <c r="I3924" s="1">
        <v>0.02</v>
      </c>
      <c r="J3924" s="1">
        <v>0.67710000000000004</v>
      </c>
    </row>
    <row r="3925" spans="1:10" x14ac:dyDescent="0.2">
      <c r="A3925" t="str">
        <f>"02/11/2010"</f>
        <v>02/11/2010</v>
      </c>
      <c r="B3925">
        <v>1</v>
      </c>
      <c r="C3925">
        <v>41500</v>
      </c>
      <c r="D3925">
        <v>56475</v>
      </c>
      <c r="E3925">
        <v>41500</v>
      </c>
      <c r="F3925">
        <v>41500</v>
      </c>
      <c r="G3925" s="1">
        <v>0.02</v>
      </c>
      <c r="H3925" s="1">
        <v>0.02</v>
      </c>
      <c r="I3925" s="1">
        <v>0.02</v>
      </c>
      <c r="J3925" s="1">
        <v>0.6734</v>
      </c>
    </row>
    <row r="3926" spans="1:10" x14ac:dyDescent="0.2">
      <c r="A3926" t="str">
        <f>"01/11/2010"</f>
        <v>01/11/2010</v>
      </c>
      <c r="B3926">
        <v>1</v>
      </c>
      <c r="C3926">
        <v>43000</v>
      </c>
      <c r="D3926">
        <v>57876</v>
      </c>
      <c r="E3926">
        <v>43000</v>
      </c>
      <c r="F3926">
        <v>43000</v>
      </c>
      <c r="G3926" s="1">
        <v>0.02</v>
      </c>
      <c r="H3926" s="1">
        <v>0.02</v>
      </c>
      <c r="I3926" s="1">
        <v>0.02</v>
      </c>
      <c r="J3926" s="1">
        <v>0.67020000000000002</v>
      </c>
    </row>
    <row r="3927" spans="1:10" x14ac:dyDescent="0.2">
      <c r="A3927" t="str">
        <f>"31/10/2010"</f>
        <v>31/10/2010</v>
      </c>
      <c r="B3927">
        <v>1</v>
      </c>
      <c r="C3927">
        <v>36000</v>
      </c>
      <c r="D3927">
        <v>50015</v>
      </c>
      <c r="E3927">
        <v>36000</v>
      </c>
      <c r="F3927">
        <v>36000</v>
      </c>
      <c r="G3927" s="1">
        <v>0.02</v>
      </c>
      <c r="H3927" s="1">
        <v>0.02</v>
      </c>
      <c r="I3927" s="1">
        <v>0.02</v>
      </c>
      <c r="J3927" s="1">
        <v>0.65010000000000001</v>
      </c>
    </row>
    <row r="3928" spans="1:10" x14ac:dyDescent="0.2">
      <c r="A3928" t="str">
        <f>"28/10/2010"</f>
        <v>28/10/2010</v>
      </c>
      <c r="B3928">
        <v>3</v>
      </c>
      <c r="C3928">
        <v>33500</v>
      </c>
      <c r="D3928">
        <v>45279</v>
      </c>
      <c r="E3928">
        <v>33500</v>
      </c>
      <c r="F3928">
        <v>33500</v>
      </c>
      <c r="G3928" s="1">
        <v>0.02</v>
      </c>
      <c r="H3928" s="1">
        <v>0.02</v>
      </c>
      <c r="I3928" s="1">
        <v>0.02</v>
      </c>
      <c r="J3928" s="1">
        <v>0.66400000000000003</v>
      </c>
    </row>
    <row r="3929" spans="1:10" x14ac:dyDescent="0.2">
      <c r="A3929" t="str">
        <f>"27/10/2010"</f>
        <v>27/10/2010</v>
      </c>
      <c r="B3929">
        <v>1</v>
      </c>
      <c r="C3929">
        <v>29000</v>
      </c>
      <c r="D3929">
        <v>26172</v>
      </c>
      <c r="E3929">
        <v>26172</v>
      </c>
      <c r="F3929">
        <v>26172</v>
      </c>
      <c r="G3929" s="1">
        <v>0.02</v>
      </c>
      <c r="H3929" s="1">
        <v>1.9900000000000001E-2</v>
      </c>
      <c r="I3929" s="1">
        <v>1.9900000000000001E-2</v>
      </c>
      <c r="J3929" s="1">
        <v>1</v>
      </c>
    </row>
    <row r="3930" spans="1:10" x14ac:dyDescent="0.2">
      <c r="A3930" t="str">
        <f>"26/10/2010"</f>
        <v>26/10/2010</v>
      </c>
      <c r="B3930">
        <v>1</v>
      </c>
      <c r="C3930">
        <v>30000</v>
      </c>
      <c r="D3930">
        <v>75796</v>
      </c>
      <c r="E3930">
        <v>30000</v>
      </c>
      <c r="F3930">
        <v>30000</v>
      </c>
      <c r="G3930" s="1">
        <v>0.02</v>
      </c>
      <c r="H3930" s="1">
        <v>1.9900000000000001E-2</v>
      </c>
      <c r="I3930" s="1">
        <v>1.9900000000000001E-2</v>
      </c>
      <c r="J3930" s="1">
        <v>0.1673</v>
      </c>
    </row>
    <row r="3931" spans="1:10" x14ac:dyDescent="0.2">
      <c r="A3931" t="str">
        <f>"25/10/2010"</f>
        <v>25/10/2010</v>
      </c>
      <c r="B3931">
        <v>1</v>
      </c>
      <c r="C3931">
        <v>30000</v>
      </c>
      <c r="D3931">
        <v>74420</v>
      </c>
      <c r="E3931">
        <v>30000</v>
      </c>
      <c r="F3931">
        <v>30000</v>
      </c>
      <c r="G3931" s="1">
        <v>0.02</v>
      </c>
      <c r="H3931" s="1">
        <v>1.9900000000000001E-2</v>
      </c>
      <c r="I3931" s="1">
        <v>1.9900000000000001E-2</v>
      </c>
      <c r="J3931" s="1">
        <v>7.3099999999999998E-2</v>
      </c>
    </row>
    <row r="3932" spans="1:10" x14ac:dyDescent="0.2">
      <c r="A3932" t="str">
        <f>"24/10/2010"</f>
        <v>24/10/2010</v>
      </c>
      <c r="B3932">
        <v>1</v>
      </c>
      <c r="C3932">
        <v>30000</v>
      </c>
      <c r="D3932">
        <v>69060</v>
      </c>
      <c r="E3932">
        <v>30000</v>
      </c>
      <c r="F3932">
        <v>30000</v>
      </c>
      <c r="G3932" s="1">
        <v>0.02</v>
      </c>
      <c r="H3932" s="1">
        <v>1.9900000000000001E-2</v>
      </c>
      <c r="I3932" s="1">
        <v>1.9900000000000001E-2</v>
      </c>
      <c r="J3932" s="1">
        <v>8.7400000000000005E-2</v>
      </c>
    </row>
    <row r="3933" spans="1:10" x14ac:dyDescent="0.2">
      <c r="A3933" t="str">
        <f>"21/10/2010"</f>
        <v>21/10/2010</v>
      </c>
      <c r="B3933">
        <v>3</v>
      </c>
      <c r="C3933">
        <v>29000</v>
      </c>
      <c r="D3933">
        <v>53898</v>
      </c>
      <c r="E3933">
        <v>29000</v>
      </c>
      <c r="F3933">
        <v>29000</v>
      </c>
      <c r="G3933" s="1">
        <v>0.02</v>
      </c>
      <c r="H3933" s="1">
        <v>1.9900000000000001E-2</v>
      </c>
      <c r="I3933" s="1">
        <v>1.9900000000000001E-2</v>
      </c>
      <c r="J3933" s="1">
        <v>0.106</v>
      </c>
    </row>
    <row r="3934" spans="1:10" x14ac:dyDescent="0.2">
      <c r="A3934" t="str">
        <f>"20/10/2010"</f>
        <v>20/10/2010</v>
      </c>
      <c r="B3934">
        <v>1</v>
      </c>
      <c r="C3934">
        <v>28000</v>
      </c>
      <c r="D3934">
        <v>58236</v>
      </c>
      <c r="E3934">
        <v>28000</v>
      </c>
      <c r="F3934">
        <v>28000</v>
      </c>
      <c r="G3934" s="1">
        <v>0.02</v>
      </c>
      <c r="H3934" s="1">
        <v>1.9900000000000001E-2</v>
      </c>
      <c r="I3934" s="1">
        <v>1.9900000000000001E-2</v>
      </c>
      <c r="J3934" s="1">
        <v>0.13489999999999999</v>
      </c>
    </row>
    <row r="3935" spans="1:10" x14ac:dyDescent="0.2">
      <c r="A3935" t="str">
        <f>"19/10/2010"</f>
        <v>19/10/2010</v>
      </c>
      <c r="B3935">
        <v>1</v>
      </c>
      <c r="C3935">
        <v>27000</v>
      </c>
      <c r="D3935">
        <v>60010</v>
      </c>
      <c r="E3935">
        <v>27000</v>
      </c>
      <c r="F3935">
        <v>27000</v>
      </c>
      <c r="G3935" s="1">
        <v>0.02</v>
      </c>
      <c r="H3935" s="1">
        <v>1.9900000000000001E-2</v>
      </c>
      <c r="I3935" s="1">
        <v>1.9900000000000001E-2</v>
      </c>
      <c r="J3935" s="1">
        <v>0.1799</v>
      </c>
    </row>
    <row r="3936" spans="1:10" x14ac:dyDescent="0.2">
      <c r="A3936" t="str">
        <f>"18/10/2010"</f>
        <v>18/10/2010</v>
      </c>
      <c r="B3936">
        <v>1</v>
      </c>
      <c r="C3936">
        <v>27000</v>
      </c>
      <c r="D3936">
        <v>57670</v>
      </c>
      <c r="E3936">
        <v>27000</v>
      </c>
      <c r="F3936">
        <v>27000</v>
      </c>
      <c r="G3936" s="1">
        <v>0.02</v>
      </c>
      <c r="H3936" s="1">
        <v>1.9900000000000001E-2</v>
      </c>
      <c r="I3936" s="1">
        <v>1.9900000000000001E-2</v>
      </c>
      <c r="J3936" s="1">
        <v>0.2364</v>
      </c>
    </row>
    <row r="3937" spans="1:10" x14ac:dyDescent="0.2">
      <c r="A3937" t="str">
        <f>"17/10/2010"</f>
        <v>17/10/2010</v>
      </c>
      <c r="B3937">
        <v>1</v>
      </c>
      <c r="C3937">
        <v>26000</v>
      </c>
      <c r="D3937">
        <v>55971</v>
      </c>
      <c r="E3937">
        <v>26000</v>
      </c>
      <c r="F3937">
        <v>26000</v>
      </c>
      <c r="G3937" s="1">
        <v>0.02</v>
      </c>
      <c r="H3937" s="1">
        <v>0.02</v>
      </c>
      <c r="I3937" s="1">
        <v>0.02</v>
      </c>
      <c r="J3937" s="1">
        <v>0.3397</v>
      </c>
    </row>
    <row r="3938" spans="1:10" x14ac:dyDescent="0.2">
      <c r="A3938" t="str">
        <f>"14/10/2010"</f>
        <v>14/10/2010</v>
      </c>
      <c r="B3938">
        <v>3</v>
      </c>
      <c r="C3938">
        <v>34000</v>
      </c>
      <c r="D3938">
        <v>63762</v>
      </c>
      <c r="E3938">
        <v>34000</v>
      </c>
      <c r="F3938">
        <v>34000</v>
      </c>
      <c r="G3938" s="1">
        <v>0.02</v>
      </c>
      <c r="H3938" s="1">
        <v>0.02</v>
      </c>
      <c r="I3938" s="1">
        <v>0.02</v>
      </c>
      <c r="J3938" s="1">
        <v>0.43790000000000001</v>
      </c>
    </row>
    <row r="3939" spans="1:10" x14ac:dyDescent="0.2">
      <c r="A3939" t="str">
        <f>"13/10/2010"</f>
        <v>13/10/2010</v>
      </c>
      <c r="B3939">
        <v>1</v>
      </c>
      <c r="C3939">
        <v>37000</v>
      </c>
      <c r="D3939">
        <v>66420</v>
      </c>
      <c r="E3939">
        <v>37000</v>
      </c>
      <c r="F3939">
        <v>37000</v>
      </c>
      <c r="G3939" s="1">
        <v>0.02</v>
      </c>
      <c r="H3939" s="1">
        <v>0.02</v>
      </c>
      <c r="I3939" s="1">
        <v>0.02</v>
      </c>
      <c r="J3939" s="1">
        <v>0.4753</v>
      </c>
    </row>
    <row r="3940" spans="1:10" x14ac:dyDescent="0.2">
      <c r="A3940" t="str">
        <f>"12/10/2010"</f>
        <v>12/10/2010</v>
      </c>
      <c r="B3940">
        <v>1</v>
      </c>
      <c r="C3940">
        <v>37000</v>
      </c>
      <c r="D3940">
        <v>64156</v>
      </c>
      <c r="E3940">
        <v>37000</v>
      </c>
      <c r="F3940">
        <v>37000</v>
      </c>
      <c r="G3940" s="1">
        <v>0.02</v>
      </c>
      <c r="H3940" s="1">
        <v>0.02</v>
      </c>
      <c r="I3940" s="1">
        <v>0.02</v>
      </c>
      <c r="J3940" s="1">
        <v>0.49480000000000002</v>
      </c>
    </row>
    <row r="3941" spans="1:10" x14ac:dyDescent="0.2">
      <c r="A3941" t="str">
        <f>"11/10/2010"</f>
        <v>11/10/2010</v>
      </c>
      <c r="B3941">
        <v>1</v>
      </c>
      <c r="C3941">
        <v>37000</v>
      </c>
      <c r="D3941">
        <v>60128</v>
      </c>
      <c r="E3941">
        <v>37000</v>
      </c>
      <c r="F3941">
        <v>37000</v>
      </c>
      <c r="G3941" s="1">
        <v>0.02</v>
      </c>
      <c r="H3941" s="1">
        <v>0.02</v>
      </c>
      <c r="I3941" s="1">
        <v>0.02</v>
      </c>
      <c r="J3941" s="1">
        <v>0.5252</v>
      </c>
    </row>
    <row r="3942" spans="1:10" x14ac:dyDescent="0.2">
      <c r="A3942" t="str">
        <f>"10/10/2010"</f>
        <v>10/10/2010</v>
      </c>
      <c r="B3942">
        <v>1</v>
      </c>
      <c r="C3942">
        <v>36500</v>
      </c>
      <c r="D3942">
        <v>62066</v>
      </c>
      <c r="E3942">
        <v>36500</v>
      </c>
      <c r="F3942">
        <v>36500</v>
      </c>
      <c r="G3942" s="1">
        <v>0.02</v>
      </c>
      <c r="H3942" s="1">
        <v>0.02</v>
      </c>
      <c r="I3942" s="1">
        <v>0.02</v>
      </c>
      <c r="J3942" s="1">
        <v>0.50829999999999997</v>
      </c>
    </row>
    <row r="3943" spans="1:10" x14ac:dyDescent="0.2">
      <c r="A3943" t="str">
        <f>"07/10/2010"</f>
        <v>07/10/2010</v>
      </c>
      <c r="B3943">
        <v>3</v>
      </c>
      <c r="C3943">
        <v>36500</v>
      </c>
      <c r="D3943">
        <v>53755</v>
      </c>
      <c r="E3943">
        <v>36500</v>
      </c>
      <c r="F3943">
        <v>36500</v>
      </c>
      <c r="G3943" s="1">
        <v>0.02</v>
      </c>
      <c r="H3943" s="1">
        <v>0.02</v>
      </c>
      <c r="I3943" s="1">
        <v>0.02</v>
      </c>
      <c r="J3943" s="1">
        <v>0.58550000000000002</v>
      </c>
    </row>
    <row r="3944" spans="1:10" x14ac:dyDescent="0.2">
      <c r="A3944" t="str">
        <f>"06/10/2010"</f>
        <v>06/10/2010</v>
      </c>
      <c r="B3944">
        <v>1</v>
      </c>
      <c r="C3944">
        <v>33500</v>
      </c>
      <c r="D3944">
        <v>53651</v>
      </c>
      <c r="E3944">
        <v>33500</v>
      </c>
      <c r="F3944">
        <v>33500</v>
      </c>
      <c r="G3944" s="1">
        <v>0.02</v>
      </c>
      <c r="H3944" s="1">
        <v>0.02</v>
      </c>
      <c r="I3944" s="1">
        <v>0.02</v>
      </c>
      <c r="J3944" s="1">
        <v>0.52529999999999999</v>
      </c>
    </row>
    <row r="3945" spans="1:10" x14ac:dyDescent="0.2">
      <c r="A3945" t="str">
        <f>"05/10/2010"</f>
        <v>05/10/2010</v>
      </c>
      <c r="B3945">
        <v>1</v>
      </c>
      <c r="C3945">
        <v>35500</v>
      </c>
      <c r="D3945">
        <v>53487</v>
      </c>
      <c r="E3945">
        <v>35500</v>
      </c>
      <c r="F3945">
        <v>35500</v>
      </c>
      <c r="G3945" s="1">
        <v>0.02</v>
      </c>
      <c r="H3945" s="1">
        <v>0.02</v>
      </c>
      <c r="I3945" s="1">
        <v>0.02</v>
      </c>
      <c r="J3945" s="1">
        <v>0.56530000000000002</v>
      </c>
    </row>
    <row r="3946" spans="1:10" x14ac:dyDescent="0.2">
      <c r="A3946" t="str">
        <f>"04/10/2010"</f>
        <v>04/10/2010</v>
      </c>
      <c r="B3946">
        <v>1</v>
      </c>
      <c r="C3946">
        <v>35000</v>
      </c>
      <c r="D3946">
        <v>52872</v>
      </c>
      <c r="E3946">
        <v>35000</v>
      </c>
      <c r="F3946">
        <v>35000</v>
      </c>
      <c r="G3946" s="1">
        <v>0.02</v>
      </c>
      <c r="H3946" s="1">
        <v>0.02</v>
      </c>
      <c r="I3946" s="1">
        <v>0.02</v>
      </c>
      <c r="J3946" s="1">
        <v>0.57499999999999996</v>
      </c>
    </row>
    <row r="3947" spans="1:10" x14ac:dyDescent="0.2">
      <c r="A3947" t="str">
        <f>"03/10/2010"</f>
        <v>03/10/2010</v>
      </c>
      <c r="B3947">
        <v>1</v>
      </c>
      <c r="C3947">
        <v>35500</v>
      </c>
      <c r="D3947">
        <v>54723</v>
      </c>
      <c r="E3947">
        <v>35500</v>
      </c>
      <c r="F3947">
        <v>35500</v>
      </c>
      <c r="G3947" s="1">
        <v>0.02</v>
      </c>
      <c r="H3947" s="1">
        <v>0.02</v>
      </c>
      <c r="I3947" s="1">
        <v>0.02</v>
      </c>
      <c r="J3947" s="1">
        <v>0.56010000000000004</v>
      </c>
    </row>
    <row r="3948" spans="1:10" x14ac:dyDescent="0.2">
      <c r="A3948" t="str">
        <f>"01/10/2010"</f>
        <v>01/10/2010</v>
      </c>
      <c r="B3948">
        <v>2</v>
      </c>
      <c r="C3948">
        <v>12000</v>
      </c>
      <c r="D3948">
        <v>15036</v>
      </c>
      <c r="E3948">
        <v>12000</v>
      </c>
      <c r="F3948">
        <v>12000</v>
      </c>
      <c r="G3948" s="1">
        <v>0.02</v>
      </c>
      <c r="H3948" s="1">
        <v>0.02</v>
      </c>
      <c r="I3948" s="1">
        <v>0.02</v>
      </c>
      <c r="J3948" s="1">
        <v>0.68700000000000006</v>
      </c>
    </row>
    <row r="3949" spans="1:10" x14ac:dyDescent="0.2">
      <c r="A3949" t="str">
        <f>"29/09/2010"</f>
        <v>29/09/2010</v>
      </c>
      <c r="B3949">
        <v>4</v>
      </c>
      <c r="C3949">
        <v>29000</v>
      </c>
      <c r="D3949">
        <v>24345</v>
      </c>
      <c r="E3949">
        <v>24345</v>
      </c>
      <c r="F3949">
        <v>24345</v>
      </c>
      <c r="G3949" s="1">
        <v>1.7500000000000002E-2</v>
      </c>
      <c r="H3949" s="1">
        <v>1.7299999999999999E-2</v>
      </c>
      <c r="I3949" s="1">
        <v>1.7299999999999999E-2</v>
      </c>
      <c r="J3949" s="1">
        <v>1</v>
      </c>
    </row>
    <row r="3950" spans="1:10" x14ac:dyDescent="0.2">
      <c r="A3950" t="str">
        <f>"28/09/2010"</f>
        <v>28/09/2010</v>
      </c>
      <c r="B3950">
        <v>1</v>
      </c>
      <c r="C3950">
        <v>26500</v>
      </c>
      <c r="D3950">
        <v>28505</v>
      </c>
      <c r="E3950">
        <v>26500</v>
      </c>
      <c r="F3950">
        <v>26500</v>
      </c>
      <c r="G3950" s="1">
        <v>1.7299999999999999E-2</v>
      </c>
      <c r="H3950" s="1">
        <v>1.72E-2</v>
      </c>
      <c r="I3950" s="1">
        <v>1.72E-2</v>
      </c>
      <c r="J3950" s="1">
        <v>0.91700000000000004</v>
      </c>
    </row>
    <row r="3951" spans="1:10" x14ac:dyDescent="0.2">
      <c r="A3951" t="str">
        <f>"27/09/2010"</f>
        <v>27/09/2010</v>
      </c>
      <c r="B3951">
        <v>1</v>
      </c>
      <c r="C3951">
        <v>14000</v>
      </c>
      <c r="D3951">
        <v>20802</v>
      </c>
      <c r="E3951">
        <v>14000</v>
      </c>
      <c r="F3951">
        <v>14000</v>
      </c>
      <c r="G3951" s="1">
        <v>1.7299999999999999E-2</v>
      </c>
      <c r="H3951" s="1">
        <v>1.7299999999999999E-2</v>
      </c>
      <c r="I3951" s="1">
        <v>1.7299999999999999E-2</v>
      </c>
      <c r="J3951" s="1">
        <v>0.97729999999999995</v>
      </c>
    </row>
    <row r="3952" spans="1:10" x14ac:dyDescent="0.2">
      <c r="A3952" t="str">
        <f>"26/09/2010"</f>
        <v>26/09/2010</v>
      </c>
      <c r="B3952">
        <v>1</v>
      </c>
      <c r="C3952">
        <v>14000</v>
      </c>
      <c r="D3952">
        <v>24513</v>
      </c>
      <c r="E3952">
        <v>14000</v>
      </c>
      <c r="F3952">
        <v>14000</v>
      </c>
      <c r="G3952" s="1">
        <v>1.7399999999999999E-2</v>
      </c>
      <c r="H3952" s="1">
        <v>1.7399999999999999E-2</v>
      </c>
      <c r="I3952" s="1">
        <v>1.7399999999999999E-2</v>
      </c>
      <c r="J3952" s="1">
        <v>0.80930000000000002</v>
      </c>
    </row>
    <row r="3953" spans="1:10" x14ac:dyDescent="0.2">
      <c r="A3953" t="str">
        <f>"21/09/2010"</f>
        <v>21/09/2010</v>
      </c>
      <c r="B3953">
        <v>5</v>
      </c>
      <c r="C3953">
        <v>16000</v>
      </c>
      <c r="D3953">
        <v>19707</v>
      </c>
      <c r="E3953">
        <v>16000</v>
      </c>
      <c r="F3953">
        <v>16000</v>
      </c>
      <c r="G3953" s="1">
        <v>1.7500000000000002E-2</v>
      </c>
      <c r="H3953" s="1">
        <v>1.7399999999999999E-2</v>
      </c>
      <c r="I3953" s="1">
        <v>1.7399999999999999E-2</v>
      </c>
      <c r="J3953" s="1">
        <v>0.3135</v>
      </c>
    </row>
    <row r="3954" spans="1:10" x14ac:dyDescent="0.2">
      <c r="A3954" t="str">
        <f>"20/09/2010"</f>
        <v>20/09/2010</v>
      </c>
      <c r="B3954">
        <v>1</v>
      </c>
      <c r="C3954">
        <v>16000</v>
      </c>
      <c r="D3954">
        <v>52890</v>
      </c>
      <c r="E3954">
        <v>16000</v>
      </c>
      <c r="F3954">
        <v>16000</v>
      </c>
      <c r="G3954" s="1">
        <v>1.7500000000000002E-2</v>
      </c>
      <c r="H3954" s="1">
        <v>1.7399999999999999E-2</v>
      </c>
      <c r="I3954" s="1">
        <v>1.7399999999999999E-2</v>
      </c>
      <c r="J3954" s="1">
        <v>7.8899999999999998E-2</v>
      </c>
    </row>
    <row r="3955" spans="1:10" x14ac:dyDescent="0.2">
      <c r="A3955" t="str">
        <f>"19/09/2010"</f>
        <v>19/09/2010</v>
      </c>
      <c r="B3955">
        <v>1</v>
      </c>
      <c r="C3955">
        <v>19500</v>
      </c>
      <c r="D3955">
        <v>59934</v>
      </c>
      <c r="E3955">
        <v>19500</v>
      </c>
      <c r="F3955">
        <v>19500</v>
      </c>
      <c r="G3955" s="1">
        <v>1.7500000000000002E-2</v>
      </c>
      <c r="H3955" s="1">
        <v>1.7399999999999999E-2</v>
      </c>
      <c r="I3955" s="1">
        <v>1.7399999999999999E-2</v>
      </c>
      <c r="J3955" s="1">
        <v>0.15570000000000001</v>
      </c>
    </row>
    <row r="3956" spans="1:10" x14ac:dyDescent="0.2">
      <c r="A3956" t="str">
        <f>"16/09/2010"</f>
        <v>16/09/2010</v>
      </c>
      <c r="B3956">
        <v>3</v>
      </c>
      <c r="C3956">
        <v>20000</v>
      </c>
      <c r="D3956">
        <v>50470</v>
      </c>
      <c r="E3956">
        <v>20000</v>
      </c>
      <c r="F3956">
        <v>20000</v>
      </c>
      <c r="G3956" s="1">
        <v>1.7500000000000002E-2</v>
      </c>
      <c r="H3956" s="1">
        <v>1.7399999999999999E-2</v>
      </c>
      <c r="I3956" s="1">
        <v>1.7399999999999999E-2</v>
      </c>
      <c r="J3956" s="1">
        <v>0.21870000000000001</v>
      </c>
    </row>
    <row r="3957" spans="1:10" x14ac:dyDescent="0.2">
      <c r="A3957" t="str">
        <f>"15/09/2010"</f>
        <v>15/09/2010</v>
      </c>
      <c r="B3957">
        <v>1</v>
      </c>
      <c r="C3957">
        <v>24000</v>
      </c>
      <c r="D3957">
        <v>61742</v>
      </c>
      <c r="E3957">
        <v>24000</v>
      </c>
      <c r="F3957">
        <v>24000</v>
      </c>
      <c r="G3957" s="1">
        <v>1.7500000000000002E-2</v>
      </c>
      <c r="H3957" s="1">
        <v>1.7500000000000002E-2</v>
      </c>
      <c r="I3957" s="1">
        <v>1.7500000000000002E-2</v>
      </c>
      <c r="J3957" s="1">
        <v>0.29449999999999998</v>
      </c>
    </row>
    <row r="3958" spans="1:10" x14ac:dyDescent="0.2">
      <c r="A3958" t="str">
        <f>"14/09/2010"</f>
        <v>14/09/2010</v>
      </c>
      <c r="B3958">
        <v>1</v>
      </c>
      <c r="C3958">
        <v>24000</v>
      </c>
      <c r="D3958">
        <v>57645</v>
      </c>
      <c r="E3958">
        <v>24000</v>
      </c>
      <c r="F3958">
        <v>24000</v>
      </c>
      <c r="G3958" s="1">
        <v>1.7500000000000002E-2</v>
      </c>
      <c r="H3958" s="1">
        <v>1.7500000000000002E-2</v>
      </c>
      <c r="I3958" s="1">
        <v>1.7500000000000002E-2</v>
      </c>
      <c r="J3958" s="1">
        <v>0.3291</v>
      </c>
    </row>
    <row r="3959" spans="1:10" x14ac:dyDescent="0.2">
      <c r="A3959" t="str">
        <f>"13/09/2010"</f>
        <v>13/09/2010</v>
      </c>
      <c r="B3959">
        <v>1</v>
      </c>
      <c r="C3959">
        <v>25000</v>
      </c>
      <c r="D3959">
        <v>57128</v>
      </c>
      <c r="E3959">
        <v>25000</v>
      </c>
      <c r="F3959">
        <v>25000</v>
      </c>
      <c r="G3959" s="1">
        <v>1.7500000000000002E-2</v>
      </c>
      <c r="H3959" s="1">
        <v>1.7500000000000002E-2</v>
      </c>
      <c r="I3959" s="1">
        <v>1.7500000000000002E-2</v>
      </c>
      <c r="J3959" s="1">
        <v>0.34029999999999999</v>
      </c>
    </row>
    <row r="3960" spans="1:10" x14ac:dyDescent="0.2">
      <c r="A3960" t="str">
        <f>"12/09/2010"</f>
        <v>12/09/2010</v>
      </c>
      <c r="B3960">
        <v>1</v>
      </c>
      <c r="C3960">
        <v>25500</v>
      </c>
      <c r="D3960">
        <v>55890</v>
      </c>
      <c r="E3960">
        <v>25500</v>
      </c>
      <c r="F3960">
        <v>25500</v>
      </c>
      <c r="G3960" s="1">
        <v>1.7500000000000002E-2</v>
      </c>
      <c r="H3960" s="1">
        <v>1.7500000000000002E-2</v>
      </c>
      <c r="I3960" s="1">
        <v>1.7500000000000002E-2</v>
      </c>
      <c r="J3960" s="1">
        <v>0.37080000000000002</v>
      </c>
    </row>
    <row r="3961" spans="1:10" x14ac:dyDescent="0.2">
      <c r="A3961" t="str">
        <f>"07/09/2010"</f>
        <v>07/09/2010</v>
      </c>
      <c r="B3961">
        <v>5</v>
      </c>
      <c r="C3961">
        <v>29500</v>
      </c>
      <c r="D3961">
        <v>56355</v>
      </c>
      <c r="E3961">
        <v>29500</v>
      </c>
      <c r="F3961">
        <v>29500</v>
      </c>
      <c r="G3961" s="1">
        <v>1.7500000000000002E-2</v>
      </c>
      <c r="H3961" s="1">
        <v>1.7500000000000002E-2</v>
      </c>
      <c r="I3961" s="1">
        <v>1.7500000000000002E-2</v>
      </c>
      <c r="J3961" s="1">
        <v>0.42249999999999999</v>
      </c>
    </row>
    <row r="3962" spans="1:10" x14ac:dyDescent="0.2">
      <c r="A3962" t="str">
        <f>"06/09/2010"</f>
        <v>06/09/2010</v>
      </c>
      <c r="B3962">
        <v>1</v>
      </c>
      <c r="C3962">
        <v>44000</v>
      </c>
      <c r="D3962">
        <v>99342</v>
      </c>
      <c r="E3962">
        <v>44000</v>
      </c>
      <c r="F3962">
        <v>44000</v>
      </c>
      <c r="G3962" s="1">
        <v>1.7500000000000002E-2</v>
      </c>
      <c r="H3962" s="1">
        <v>1.7500000000000002E-2</v>
      </c>
      <c r="I3962" s="1">
        <v>1.7500000000000002E-2</v>
      </c>
      <c r="J3962" s="1">
        <v>0.35349999999999998</v>
      </c>
    </row>
    <row r="3963" spans="1:10" x14ac:dyDescent="0.2">
      <c r="A3963" t="str">
        <f>"05/09/2010"</f>
        <v>05/09/2010</v>
      </c>
      <c r="B3963">
        <v>1</v>
      </c>
      <c r="C3963">
        <v>44000</v>
      </c>
      <c r="D3963">
        <v>97771</v>
      </c>
      <c r="E3963">
        <v>44000</v>
      </c>
      <c r="F3963">
        <v>44000</v>
      </c>
      <c r="G3963" s="1">
        <v>1.7500000000000002E-2</v>
      </c>
      <c r="H3963" s="1">
        <v>1.7500000000000002E-2</v>
      </c>
      <c r="I3963" s="1">
        <v>1.7500000000000002E-2</v>
      </c>
      <c r="J3963" s="1">
        <v>0.36520000000000002</v>
      </c>
    </row>
    <row r="3964" spans="1:10" x14ac:dyDescent="0.2">
      <c r="A3964" t="str">
        <f>"02/09/2010"</f>
        <v>02/09/2010</v>
      </c>
      <c r="B3964">
        <v>3</v>
      </c>
      <c r="C3964">
        <v>44000</v>
      </c>
      <c r="D3964">
        <v>97618</v>
      </c>
      <c r="E3964">
        <v>44000</v>
      </c>
      <c r="F3964">
        <v>44000</v>
      </c>
      <c r="G3964" s="1">
        <v>1.7500000000000002E-2</v>
      </c>
      <c r="H3964" s="1">
        <v>1.7500000000000002E-2</v>
      </c>
      <c r="I3964" s="1">
        <v>1.7500000000000002E-2</v>
      </c>
      <c r="J3964" s="1">
        <v>0.35170000000000001</v>
      </c>
    </row>
    <row r="3965" spans="1:10" x14ac:dyDescent="0.2">
      <c r="A3965" t="str">
        <f>"01/09/2010"</f>
        <v>01/09/2010</v>
      </c>
      <c r="B3965">
        <v>1</v>
      </c>
      <c r="C3965">
        <v>42000</v>
      </c>
      <c r="D3965">
        <v>86877</v>
      </c>
      <c r="E3965">
        <v>41048</v>
      </c>
      <c r="F3965">
        <v>42000</v>
      </c>
      <c r="G3965" s="1">
        <v>1.7500000000000002E-2</v>
      </c>
      <c r="H3965" s="1">
        <v>1.7500000000000002E-2</v>
      </c>
      <c r="I3965" s="1">
        <v>1.7500000000000002E-2</v>
      </c>
      <c r="J3965" s="1">
        <v>0.35010000000000002</v>
      </c>
    </row>
    <row r="3966" spans="1:10" x14ac:dyDescent="0.2">
      <c r="A3966" t="str">
        <f>"31/08/2010"</f>
        <v>31/08/2010</v>
      </c>
      <c r="B3966">
        <v>1</v>
      </c>
      <c r="C3966">
        <v>27000</v>
      </c>
      <c r="D3966">
        <v>56258</v>
      </c>
      <c r="E3966">
        <v>27000</v>
      </c>
      <c r="F3966">
        <v>27000</v>
      </c>
      <c r="G3966" s="1">
        <v>1.7500000000000002E-2</v>
      </c>
      <c r="H3966" s="1">
        <v>1.7399999999999999E-2</v>
      </c>
      <c r="I3966" s="1">
        <v>1.7399999999999999E-2</v>
      </c>
      <c r="J3966" s="1">
        <v>0.3674</v>
      </c>
    </row>
    <row r="3967" spans="1:10" x14ac:dyDescent="0.2">
      <c r="A3967" t="str">
        <f>"30/08/2010"</f>
        <v>30/08/2010</v>
      </c>
      <c r="B3967">
        <v>1</v>
      </c>
      <c r="C3967">
        <v>26000</v>
      </c>
      <c r="D3967">
        <v>48330</v>
      </c>
      <c r="E3967">
        <v>26000</v>
      </c>
      <c r="F3967">
        <v>26000</v>
      </c>
      <c r="G3967" s="1">
        <v>1.7500000000000002E-2</v>
      </c>
      <c r="H3967" s="1">
        <v>1.7500000000000002E-2</v>
      </c>
      <c r="I3967" s="1">
        <v>1.7500000000000002E-2</v>
      </c>
      <c r="J3967" s="1">
        <v>0.4229</v>
      </c>
    </row>
    <row r="3968" spans="1:10" x14ac:dyDescent="0.2">
      <c r="A3968" t="str">
        <f>"29/08/2010"</f>
        <v>29/08/2010</v>
      </c>
      <c r="B3968">
        <v>1</v>
      </c>
      <c r="C3968">
        <v>26000</v>
      </c>
      <c r="D3968">
        <v>43358</v>
      </c>
      <c r="E3968">
        <v>26000</v>
      </c>
      <c r="F3968">
        <v>26000</v>
      </c>
      <c r="G3968" s="1">
        <v>1.7500000000000002E-2</v>
      </c>
      <c r="H3968" s="1">
        <v>1.7500000000000002E-2</v>
      </c>
      <c r="I3968" s="1">
        <v>1.7500000000000002E-2</v>
      </c>
      <c r="J3968" s="1">
        <v>0.48799999999999999</v>
      </c>
    </row>
    <row r="3969" spans="1:10" x14ac:dyDescent="0.2">
      <c r="A3969" t="str">
        <f>"26/08/2010"</f>
        <v>26/08/2010</v>
      </c>
      <c r="B3969">
        <v>3</v>
      </c>
      <c r="C3969">
        <v>24000</v>
      </c>
      <c r="D3969">
        <v>33300</v>
      </c>
      <c r="E3969">
        <v>24000</v>
      </c>
      <c r="F3969">
        <v>24000</v>
      </c>
      <c r="G3969" s="1">
        <v>1.7500000000000002E-2</v>
      </c>
      <c r="H3969" s="1">
        <v>1.7500000000000002E-2</v>
      </c>
      <c r="I3969" s="1">
        <v>1.7500000000000002E-2</v>
      </c>
      <c r="J3969" s="1">
        <v>0.61119999999999997</v>
      </c>
    </row>
    <row r="3970" spans="1:10" x14ac:dyDescent="0.2">
      <c r="A3970" t="str">
        <f>"25/08/2010"</f>
        <v>25/08/2010</v>
      </c>
      <c r="B3970">
        <v>1</v>
      </c>
      <c r="C3970">
        <v>22500</v>
      </c>
      <c r="D3970">
        <v>21549</v>
      </c>
      <c r="E3970">
        <v>21549</v>
      </c>
      <c r="F3970">
        <v>21549</v>
      </c>
      <c r="G3970" s="1">
        <v>1.7500000000000002E-2</v>
      </c>
      <c r="H3970" s="1">
        <v>1.7399999999999999E-2</v>
      </c>
      <c r="I3970" s="1">
        <v>1.7399999999999999E-2</v>
      </c>
      <c r="J3970" s="1">
        <v>1</v>
      </c>
    </row>
    <row r="3971" spans="1:10" x14ac:dyDescent="0.2">
      <c r="A3971" t="str">
        <f>"24/08/2010"</f>
        <v>24/08/2010</v>
      </c>
      <c r="B3971">
        <v>1</v>
      </c>
      <c r="C3971">
        <v>20500</v>
      </c>
      <c r="D3971">
        <v>51630</v>
      </c>
      <c r="E3971">
        <v>20500</v>
      </c>
      <c r="F3971">
        <v>20500</v>
      </c>
      <c r="G3971" s="1">
        <v>1.7500000000000002E-2</v>
      </c>
      <c r="H3971" s="1">
        <v>1.7399999999999999E-2</v>
      </c>
      <c r="I3971" s="1">
        <v>1.7399999999999999E-2</v>
      </c>
      <c r="J3971" s="1">
        <v>1.17E-2</v>
      </c>
    </row>
    <row r="3972" spans="1:10" x14ac:dyDescent="0.2">
      <c r="A3972" t="str">
        <f>"23/08/2010"</f>
        <v>23/08/2010</v>
      </c>
      <c r="B3972">
        <v>1</v>
      </c>
      <c r="C3972">
        <v>20000</v>
      </c>
      <c r="D3972">
        <v>53856</v>
      </c>
      <c r="E3972">
        <v>20000</v>
      </c>
      <c r="F3972">
        <v>20000</v>
      </c>
      <c r="G3972" s="1">
        <v>1.7500000000000002E-2</v>
      </c>
      <c r="H3972" s="1">
        <v>1.7399999999999999E-2</v>
      </c>
      <c r="I3972" s="1">
        <v>1.7399999999999999E-2</v>
      </c>
      <c r="J3972" s="1">
        <v>6.7299999999999999E-2</v>
      </c>
    </row>
    <row r="3973" spans="1:10" x14ac:dyDescent="0.2">
      <c r="A3973" t="str">
        <f>"22/08/2010"</f>
        <v>22/08/2010</v>
      </c>
      <c r="B3973">
        <v>1</v>
      </c>
      <c r="C3973">
        <v>20000</v>
      </c>
      <c r="D3973">
        <v>57984</v>
      </c>
      <c r="E3973">
        <v>20000</v>
      </c>
      <c r="F3973">
        <v>20000</v>
      </c>
      <c r="G3973" s="1">
        <v>1.7500000000000002E-2</v>
      </c>
      <c r="H3973" s="1">
        <v>1.7399999999999999E-2</v>
      </c>
      <c r="I3973" s="1">
        <v>1.7399999999999999E-2</v>
      </c>
      <c r="J3973" s="1">
        <v>9.6699999999999994E-2</v>
      </c>
    </row>
    <row r="3974" spans="1:10" x14ac:dyDescent="0.2">
      <c r="A3974" t="str">
        <f>"19/08/2010"</f>
        <v>19/08/2010</v>
      </c>
      <c r="B3974">
        <v>3</v>
      </c>
      <c r="C3974">
        <v>21500</v>
      </c>
      <c r="D3974">
        <v>60660</v>
      </c>
      <c r="E3974">
        <v>21500</v>
      </c>
      <c r="F3974">
        <v>21500</v>
      </c>
      <c r="G3974" s="1">
        <v>1.7500000000000002E-2</v>
      </c>
      <c r="H3974" s="1">
        <v>1.7399999999999999E-2</v>
      </c>
      <c r="I3974" s="1">
        <v>1.7399999999999999E-2</v>
      </c>
      <c r="J3974" s="1">
        <v>0.13739999999999999</v>
      </c>
    </row>
    <row r="3975" spans="1:10" x14ac:dyDescent="0.2">
      <c r="A3975" t="str">
        <f>"18/08/2010"</f>
        <v>18/08/2010</v>
      </c>
      <c r="B3975">
        <v>1</v>
      </c>
      <c r="C3975">
        <v>21500</v>
      </c>
      <c r="D3975">
        <v>61501</v>
      </c>
      <c r="E3975">
        <v>21500</v>
      </c>
      <c r="F3975">
        <v>21500</v>
      </c>
      <c r="G3975" s="1">
        <v>1.7500000000000002E-2</v>
      </c>
      <c r="H3975" s="1">
        <v>1.7399999999999999E-2</v>
      </c>
      <c r="I3975" s="1">
        <v>1.7399999999999999E-2</v>
      </c>
      <c r="J3975" s="1">
        <v>0.11169999999999999</v>
      </c>
    </row>
    <row r="3976" spans="1:10" x14ac:dyDescent="0.2">
      <c r="A3976" t="str">
        <f>"17/08/2010"</f>
        <v>17/08/2010</v>
      </c>
      <c r="B3976">
        <v>1</v>
      </c>
      <c r="C3976">
        <v>21500</v>
      </c>
      <c r="D3976">
        <v>65370</v>
      </c>
      <c r="E3976">
        <v>21500</v>
      </c>
      <c r="F3976">
        <v>21500</v>
      </c>
      <c r="G3976" s="1">
        <v>1.7500000000000002E-2</v>
      </c>
      <c r="H3976" s="1">
        <v>1.7399999999999999E-2</v>
      </c>
      <c r="I3976" s="1">
        <v>1.7399999999999999E-2</v>
      </c>
      <c r="J3976" s="1">
        <v>0.14480000000000001</v>
      </c>
    </row>
    <row r="3977" spans="1:10" x14ac:dyDescent="0.2">
      <c r="A3977" t="str">
        <f>"16/08/2010"</f>
        <v>16/08/2010</v>
      </c>
      <c r="B3977">
        <v>1</v>
      </c>
      <c r="C3977">
        <v>20000</v>
      </c>
      <c r="D3977">
        <v>56229</v>
      </c>
      <c r="E3977">
        <v>20000</v>
      </c>
      <c r="F3977">
        <v>20000</v>
      </c>
      <c r="G3977" s="1">
        <v>1.7500000000000002E-2</v>
      </c>
      <c r="H3977" s="1">
        <v>1.7399999999999999E-2</v>
      </c>
      <c r="I3977" s="1">
        <v>1.7399999999999999E-2</v>
      </c>
      <c r="J3977" s="1">
        <v>0.18770000000000001</v>
      </c>
    </row>
    <row r="3978" spans="1:10" x14ac:dyDescent="0.2">
      <c r="A3978" t="str">
        <f>"15/08/2010"</f>
        <v>15/08/2010</v>
      </c>
      <c r="B3978">
        <v>1</v>
      </c>
      <c r="C3978">
        <v>27000</v>
      </c>
      <c r="D3978">
        <v>66914</v>
      </c>
      <c r="E3978">
        <v>27000</v>
      </c>
      <c r="F3978">
        <v>27000</v>
      </c>
      <c r="G3978" s="1">
        <v>1.7500000000000002E-2</v>
      </c>
      <c r="H3978" s="1">
        <v>1.7500000000000002E-2</v>
      </c>
      <c r="I3978" s="1">
        <v>1.7500000000000002E-2</v>
      </c>
      <c r="J3978" s="1">
        <v>0.27910000000000001</v>
      </c>
    </row>
    <row r="3979" spans="1:10" x14ac:dyDescent="0.2">
      <c r="A3979" t="str">
        <f>"12/08/2010"</f>
        <v>12/08/2010</v>
      </c>
      <c r="B3979">
        <v>3</v>
      </c>
      <c r="C3979">
        <v>28000</v>
      </c>
      <c r="D3979">
        <v>59865</v>
      </c>
      <c r="E3979">
        <v>28000</v>
      </c>
      <c r="F3979">
        <v>28000</v>
      </c>
      <c r="G3979" s="1">
        <v>1.7500000000000002E-2</v>
      </c>
      <c r="H3979" s="1">
        <v>1.7500000000000002E-2</v>
      </c>
      <c r="I3979" s="1">
        <v>1.7500000000000002E-2</v>
      </c>
      <c r="J3979" s="1">
        <v>0.34839999999999999</v>
      </c>
    </row>
    <row r="3980" spans="1:10" x14ac:dyDescent="0.2">
      <c r="A3980" t="str">
        <f>"11/08/2010"</f>
        <v>11/08/2010</v>
      </c>
      <c r="B3980">
        <v>1</v>
      </c>
      <c r="C3980">
        <v>32000</v>
      </c>
      <c r="D3980">
        <v>69270</v>
      </c>
      <c r="E3980">
        <v>32000</v>
      </c>
      <c r="F3980">
        <v>32000</v>
      </c>
      <c r="G3980" s="1">
        <v>1.7500000000000002E-2</v>
      </c>
      <c r="H3980" s="1">
        <v>1.7500000000000002E-2</v>
      </c>
      <c r="I3980" s="1">
        <v>1.7500000000000002E-2</v>
      </c>
      <c r="J3980" s="1">
        <v>0.35959999999999998</v>
      </c>
    </row>
    <row r="3981" spans="1:10" x14ac:dyDescent="0.2">
      <c r="A3981" t="str">
        <f>"10/08/2010"</f>
        <v>10/08/2010</v>
      </c>
      <c r="B3981">
        <v>1</v>
      </c>
      <c r="C3981">
        <v>32000</v>
      </c>
      <c r="D3981">
        <v>68284</v>
      </c>
      <c r="E3981">
        <v>32000</v>
      </c>
      <c r="F3981">
        <v>32000</v>
      </c>
      <c r="G3981" s="1">
        <v>1.7500000000000002E-2</v>
      </c>
      <c r="H3981" s="1">
        <v>1.7500000000000002E-2</v>
      </c>
      <c r="I3981" s="1">
        <v>1.7500000000000002E-2</v>
      </c>
      <c r="J3981" s="1">
        <v>0.37259999999999999</v>
      </c>
    </row>
    <row r="3982" spans="1:10" x14ac:dyDescent="0.2">
      <c r="A3982" t="str">
        <f>"09/08/2010"</f>
        <v>09/08/2010</v>
      </c>
      <c r="B3982">
        <v>1</v>
      </c>
      <c r="C3982">
        <v>32000</v>
      </c>
      <c r="D3982">
        <v>66535</v>
      </c>
      <c r="E3982">
        <v>32000</v>
      </c>
      <c r="F3982">
        <v>32000</v>
      </c>
      <c r="G3982" s="1">
        <v>1.7500000000000002E-2</v>
      </c>
      <c r="H3982" s="1">
        <v>1.7500000000000002E-2</v>
      </c>
      <c r="I3982" s="1">
        <v>1.7500000000000002E-2</v>
      </c>
      <c r="J3982" s="1">
        <v>0.3871</v>
      </c>
    </row>
    <row r="3983" spans="1:10" x14ac:dyDescent="0.2">
      <c r="A3983" t="str">
        <f>"08/08/2010"</f>
        <v>08/08/2010</v>
      </c>
      <c r="B3983">
        <v>1</v>
      </c>
      <c r="C3983">
        <v>32000</v>
      </c>
      <c r="D3983">
        <v>63685</v>
      </c>
      <c r="E3983">
        <v>32000</v>
      </c>
      <c r="F3983">
        <v>32000</v>
      </c>
      <c r="G3983" s="1">
        <v>1.7500000000000002E-2</v>
      </c>
      <c r="H3983" s="1">
        <v>1.7500000000000002E-2</v>
      </c>
      <c r="I3983" s="1">
        <v>1.7500000000000002E-2</v>
      </c>
      <c r="J3983" s="1">
        <v>0.39760000000000001</v>
      </c>
    </row>
    <row r="3984" spans="1:10" x14ac:dyDescent="0.2">
      <c r="A3984" t="str">
        <f>"05/08/2010"</f>
        <v>05/08/2010</v>
      </c>
      <c r="B3984">
        <v>3</v>
      </c>
      <c r="C3984">
        <v>32000</v>
      </c>
      <c r="D3984">
        <v>56205</v>
      </c>
      <c r="E3984">
        <v>32000</v>
      </c>
      <c r="F3984">
        <v>32000</v>
      </c>
      <c r="G3984" s="1">
        <v>1.7500000000000002E-2</v>
      </c>
      <c r="H3984" s="1">
        <v>1.7500000000000002E-2</v>
      </c>
      <c r="I3984" s="1">
        <v>1.7500000000000002E-2</v>
      </c>
      <c r="J3984" s="1">
        <v>0.44929999999999998</v>
      </c>
    </row>
    <row r="3985" spans="1:10" x14ac:dyDescent="0.2">
      <c r="A3985" t="str">
        <f>"04/08/2010"</f>
        <v>04/08/2010</v>
      </c>
      <c r="B3985">
        <v>1</v>
      </c>
      <c r="C3985">
        <v>32000</v>
      </c>
      <c r="D3985">
        <v>52969</v>
      </c>
      <c r="E3985">
        <v>32000</v>
      </c>
      <c r="F3985">
        <v>32000</v>
      </c>
      <c r="G3985" s="1">
        <v>1.7500000000000002E-2</v>
      </c>
      <c r="H3985" s="1">
        <v>1.7500000000000002E-2</v>
      </c>
      <c r="I3985" s="1">
        <v>1.7500000000000002E-2</v>
      </c>
      <c r="J3985" s="1">
        <v>0.50660000000000005</v>
      </c>
    </row>
    <row r="3986" spans="1:10" x14ac:dyDescent="0.2">
      <c r="A3986" t="str">
        <f>"03/08/2010"</f>
        <v>03/08/2010</v>
      </c>
      <c r="B3986">
        <v>1</v>
      </c>
      <c r="C3986">
        <v>36000</v>
      </c>
      <c r="D3986">
        <v>68044</v>
      </c>
      <c r="E3986">
        <v>36000</v>
      </c>
      <c r="F3986">
        <v>36000</v>
      </c>
      <c r="G3986" s="1">
        <v>1.7500000000000002E-2</v>
      </c>
      <c r="H3986" s="1">
        <v>1.7500000000000002E-2</v>
      </c>
      <c r="I3986" s="1">
        <v>1.7500000000000002E-2</v>
      </c>
      <c r="J3986" s="1">
        <v>0.44829999999999998</v>
      </c>
    </row>
    <row r="3987" spans="1:10" x14ac:dyDescent="0.2">
      <c r="A3987" t="str">
        <f>"02/08/2010"</f>
        <v>02/08/2010</v>
      </c>
      <c r="B3987">
        <v>1</v>
      </c>
      <c r="C3987">
        <v>35500</v>
      </c>
      <c r="D3987">
        <v>62625</v>
      </c>
      <c r="E3987">
        <v>35500</v>
      </c>
      <c r="F3987">
        <v>35500</v>
      </c>
      <c r="G3987" s="1">
        <v>1.7500000000000002E-2</v>
      </c>
      <c r="H3987" s="1">
        <v>1.7500000000000002E-2</v>
      </c>
      <c r="I3987" s="1">
        <v>1.7500000000000002E-2</v>
      </c>
      <c r="J3987" s="1">
        <v>0.46129999999999999</v>
      </c>
    </row>
    <row r="3988" spans="1:10" x14ac:dyDescent="0.2">
      <c r="A3988" t="str">
        <f>"01/08/2010"</f>
        <v>01/08/2010</v>
      </c>
      <c r="B3988">
        <v>1</v>
      </c>
      <c r="C3988">
        <v>34500</v>
      </c>
      <c r="D3988">
        <v>54260</v>
      </c>
      <c r="E3988">
        <v>34500</v>
      </c>
      <c r="F3988">
        <v>34500</v>
      </c>
      <c r="G3988" s="1">
        <v>1.7500000000000002E-2</v>
      </c>
      <c r="H3988" s="1">
        <v>1.7500000000000002E-2</v>
      </c>
      <c r="I3988" s="1">
        <v>1.7500000000000002E-2</v>
      </c>
      <c r="J3988" s="1">
        <v>0.5333</v>
      </c>
    </row>
    <row r="3989" spans="1:10" x14ac:dyDescent="0.2">
      <c r="A3989" t="str">
        <f>"29/07/2010"</f>
        <v>29/07/2010</v>
      </c>
      <c r="B3989">
        <v>3</v>
      </c>
      <c r="C3989">
        <v>26000</v>
      </c>
      <c r="D3989">
        <v>34536</v>
      </c>
      <c r="E3989">
        <v>26000</v>
      </c>
      <c r="F3989">
        <v>26000</v>
      </c>
      <c r="G3989" s="1">
        <v>1.7500000000000002E-2</v>
      </c>
      <c r="H3989" s="1">
        <v>1.7500000000000002E-2</v>
      </c>
      <c r="I3989" s="1">
        <v>1.7500000000000002E-2</v>
      </c>
      <c r="J3989" s="1">
        <v>0.66669999999999996</v>
      </c>
    </row>
    <row r="3990" spans="1:10" x14ac:dyDescent="0.2">
      <c r="A3990" t="str">
        <f>"28/07/2010"</f>
        <v>28/07/2010</v>
      </c>
      <c r="B3990">
        <v>1</v>
      </c>
      <c r="C3990">
        <v>25000</v>
      </c>
      <c r="D3990">
        <v>22912</v>
      </c>
      <c r="E3990">
        <v>22912</v>
      </c>
      <c r="F3990">
        <v>22912</v>
      </c>
      <c r="G3990" s="1">
        <v>1.4999999999999999E-2</v>
      </c>
      <c r="H3990" s="1">
        <v>1.49E-2</v>
      </c>
      <c r="I3990" s="1">
        <v>1.49E-2</v>
      </c>
      <c r="J3990" s="1">
        <v>1</v>
      </c>
    </row>
    <row r="3991" spans="1:10" x14ac:dyDescent="0.2">
      <c r="A3991" t="str">
        <f>"27/07/2010"</f>
        <v>27/07/2010</v>
      </c>
      <c r="B3991">
        <v>1</v>
      </c>
      <c r="C3991">
        <v>22500</v>
      </c>
      <c r="D3991">
        <v>39152</v>
      </c>
      <c r="E3991">
        <v>22500</v>
      </c>
      <c r="F3991">
        <v>22500</v>
      </c>
      <c r="G3991" s="1">
        <v>1.4999999999999999E-2</v>
      </c>
      <c r="H3991" s="1">
        <v>1.49E-2</v>
      </c>
      <c r="I3991" s="1">
        <v>1.49E-2</v>
      </c>
      <c r="J3991" s="1">
        <v>3.4700000000000002E-2</v>
      </c>
    </row>
    <row r="3992" spans="1:10" x14ac:dyDescent="0.2">
      <c r="A3992" t="str">
        <f>"26/07/2010"</f>
        <v>26/07/2010</v>
      </c>
      <c r="B3992">
        <v>1</v>
      </c>
      <c r="C3992">
        <v>24000</v>
      </c>
      <c r="D3992">
        <v>62109</v>
      </c>
      <c r="E3992">
        <v>24000</v>
      </c>
      <c r="F3992">
        <v>24000</v>
      </c>
      <c r="G3992" s="1">
        <v>1.4999999999999999E-2</v>
      </c>
      <c r="H3992" s="1">
        <v>1.49E-2</v>
      </c>
      <c r="I3992" s="1">
        <v>1.49E-2</v>
      </c>
      <c r="J3992" s="1">
        <v>0.20599999999999999</v>
      </c>
    </row>
    <row r="3993" spans="1:10" x14ac:dyDescent="0.2">
      <c r="A3993" t="str">
        <f>"25/07/2010"</f>
        <v>25/07/2010</v>
      </c>
      <c r="B3993">
        <v>1</v>
      </c>
      <c r="C3993">
        <v>21000</v>
      </c>
      <c r="D3993">
        <v>55637</v>
      </c>
      <c r="E3993">
        <v>21000</v>
      </c>
      <c r="F3993">
        <v>21000</v>
      </c>
      <c r="G3993" s="1">
        <v>1.4999999999999999E-2</v>
      </c>
      <c r="H3993" s="1">
        <v>1.49E-2</v>
      </c>
      <c r="I3993" s="1">
        <v>1.49E-2</v>
      </c>
      <c r="J3993" s="1">
        <v>0.18740000000000001</v>
      </c>
    </row>
    <row r="3994" spans="1:10" x14ac:dyDescent="0.2">
      <c r="A3994" t="str">
        <f>"22/07/2010"</f>
        <v>22/07/2010</v>
      </c>
      <c r="B3994">
        <v>3</v>
      </c>
      <c r="C3994">
        <v>20500</v>
      </c>
      <c r="D3994">
        <v>55929</v>
      </c>
      <c r="E3994">
        <v>20500</v>
      </c>
      <c r="F3994">
        <v>20500</v>
      </c>
      <c r="G3994" s="1">
        <v>1.4999999999999999E-2</v>
      </c>
      <c r="H3994" s="1">
        <v>1.49E-2</v>
      </c>
      <c r="I3994" s="1">
        <v>1.49E-2</v>
      </c>
      <c r="J3994" s="1">
        <v>0.1948</v>
      </c>
    </row>
    <row r="3995" spans="1:10" x14ac:dyDescent="0.2">
      <c r="A3995" t="str">
        <f>"21/07/2010"</f>
        <v>21/07/2010</v>
      </c>
      <c r="B3995">
        <v>1</v>
      </c>
      <c r="C3995">
        <v>22000</v>
      </c>
      <c r="D3995">
        <v>58934</v>
      </c>
      <c r="E3995">
        <v>22000</v>
      </c>
      <c r="F3995">
        <v>22000</v>
      </c>
      <c r="G3995" s="1">
        <v>1.4999999999999999E-2</v>
      </c>
      <c r="H3995" s="1">
        <v>1.4999999999999999E-2</v>
      </c>
      <c r="I3995" s="1">
        <v>1.4999999999999999E-2</v>
      </c>
      <c r="J3995" s="1">
        <v>0.23530000000000001</v>
      </c>
    </row>
    <row r="3996" spans="1:10" x14ac:dyDescent="0.2">
      <c r="A3996" t="str">
        <f>"19/07/2010"</f>
        <v>19/07/2010</v>
      </c>
      <c r="B3996">
        <v>2</v>
      </c>
      <c r="C3996">
        <v>23000</v>
      </c>
      <c r="D3996">
        <v>57241</v>
      </c>
      <c r="E3996">
        <v>23000</v>
      </c>
      <c r="F3996">
        <v>23000</v>
      </c>
      <c r="G3996" s="1">
        <v>1.4999999999999999E-2</v>
      </c>
      <c r="H3996" s="1">
        <v>1.4999999999999999E-2</v>
      </c>
      <c r="I3996" s="1">
        <v>1.4999999999999999E-2</v>
      </c>
      <c r="J3996" s="1">
        <v>0.27989999999999998</v>
      </c>
    </row>
    <row r="3997" spans="1:10" x14ac:dyDescent="0.2">
      <c r="A3997" t="str">
        <f>"18/07/2010"</f>
        <v>18/07/2010</v>
      </c>
      <c r="B3997">
        <v>1</v>
      </c>
      <c r="C3997">
        <v>23000</v>
      </c>
      <c r="D3997">
        <v>52683</v>
      </c>
      <c r="E3997">
        <v>23000</v>
      </c>
      <c r="F3997">
        <v>23000</v>
      </c>
      <c r="G3997" s="1">
        <v>1.4999999999999999E-2</v>
      </c>
      <c r="H3997" s="1">
        <v>1.4999999999999999E-2</v>
      </c>
      <c r="I3997" s="1">
        <v>1.4999999999999999E-2</v>
      </c>
      <c r="J3997" s="1">
        <v>0.31940000000000002</v>
      </c>
    </row>
    <row r="3998" spans="1:10" x14ac:dyDescent="0.2">
      <c r="A3998" t="str">
        <f>"15/07/2010"</f>
        <v>15/07/2010</v>
      </c>
      <c r="B3998">
        <v>3</v>
      </c>
      <c r="C3998">
        <v>25000</v>
      </c>
      <c r="D3998">
        <v>49640</v>
      </c>
      <c r="E3998">
        <v>25000</v>
      </c>
      <c r="F3998">
        <v>25000</v>
      </c>
      <c r="G3998" s="1">
        <v>1.4999999999999999E-2</v>
      </c>
      <c r="H3998" s="1">
        <v>1.4999999999999999E-2</v>
      </c>
      <c r="I3998" s="1">
        <v>1.4999999999999999E-2</v>
      </c>
      <c r="J3998" s="1">
        <v>0.37059999999999998</v>
      </c>
    </row>
    <row r="3999" spans="1:10" x14ac:dyDescent="0.2">
      <c r="A3999" t="str">
        <f>"15/07/2010"</f>
        <v>15/07/2010</v>
      </c>
      <c r="B3999">
        <v>1</v>
      </c>
      <c r="C3999">
        <v>10000</v>
      </c>
      <c r="D3999">
        <v>17850</v>
      </c>
      <c r="E3999">
        <v>10000</v>
      </c>
      <c r="F3999">
        <v>10000</v>
      </c>
      <c r="G3999" s="1">
        <v>1.4999999999999999E-2</v>
      </c>
      <c r="H3999" s="1">
        <v>1.4999999999999999E-2</v>
      </c>
      <c r="I3999" s="1">
        <v>1.4999999999999999E-2</v>
      </c>
      <c r="J3999" s="1">
        <v>0.50880000000000003</v>
      </c>
    </row>
    <row r="4000" spans="1:10" x14ac:dyDescent="0.2">
      <c r="A4000" t="str">
        <f>"14/07/2010"</f>
        <v>14/07/2010</v>
      </c>
      <c r="B4000">
        <v>1</v>
      </c>
      <c r="C4000">
        <v>37000</v>
      </c>
      <c r="D4000">
        <v>67288</v>
      </c>
      <c r="E4000">
        <v>37000</v>
      </c>
      <c r="F4000">
        <v>37000</v>
      </c>
      <c r="G4000" s="1">
        <v>1.4999999999999999E-2</v>
      </c>
      <c r="H4000" s="1">
        <v>1.4999999999999999E-2</v>
      </c>
      <c r="I4000" s="1">
        <v>1.4999999999999999E-2</v>
      </c>
      <c r="J4000" s="1">
        <v>0.47420000000000001</v>
      </c>
    </row>
    <row r="4001" spans="1:10" x14ac:dyDescent="0.2">
      <c r="A4001" t="str">
        <f>"13/07/2010"</f>
        <v>13/07/2010</v>
      </c>
      <c r="B4001">
        <v>1</v>
      </c>
      <c r="C4001">
        <v>38000</v>
      </c>
      <c r="D4001">
        <v>65342</v>
      </c>
      <c r="E4001">
        <v>38000</v>
      </c>
      <c r="F4001">
        <v>38000</v>
      </c>
      <c r="G4001" s="1">
        <v>1.4999999999999999E-2</v>
      </c>
      <c r="H4001" s="1">
        <v>1.4999999999999999E-2</v>
      </c>
      <c r="I4001" s="1">
        <v>1.4999999999999999E-2</v>
      </c>
      <c r="J4001" s="1">
        <v>0.4889</v>
      </c>
    </row>
    <row r="4002" spans="1:10" x14ac:dyDescent="0.2">
      <c r="A4002" t="str">
        <f>"12/07/2010"</f>
        <v>12/07/2010</v>
      </c>
      <c r="B4002">
        <v>1</v>
      </c>
      <c r="C4002">
        <v>39000</v>
      </c>
      <c r="D4002">
        <v>67184</v>
      </c>
      <c r="E4002">
        <v>39000</v>
      </c>
      <c r="F4002">
        <v>39000</v>
      </c>
      <c r="G4002" s="1">
        <v>1.4999999999999999E-2</v>
      </c>
      <c r="H4002" s="1">
        <v>1.4999999999999999E-2</v>
      </c>
      <c r="I4002" s="1">
        <v>1.4999999999999999E-2</v>
      </c>
      <c r="J4002" s="1">
        <v>0.49590000000000001</v>
      </c>
    </row>
    <row r="4003" spans="1:10" x14ac:dyDescent="0.2">
      <c r="A4003" t="str">
        <f>"11/07/2010"</f>
        <v>11/07/2010</v>
      </c>
      <c r="B4003">
        <v>1</v>
      </c>
      <c r="C4003">
        <v>39000</v>
      </c>
      <c r="D4003">
        <v>65094</v>
      </c>
      <c r="E4003">
        <v>39000</v>
      </c>
      <c r="F4003">
        <v>39000</v>
      </c>
      <c r="G4003" s="1">
        <v>1.4999999999999999E-2</v>
      </c>
      <c r="H4003" s="1">
        <v>1.4999999999999999E-2</v>
      </c>
      <c r="I4003" s="1">
        <v>1.4999999999999999E-2</v>
      </c>
      <c r="J4003" s="1">
        <v>0.49990000000000001</v>
      </c>
    </row>
    <row r="4004" spans="1:10" x14ac:dyDescent="0.2">
      <c r="A4004" t="str">
        <f>"08/07/2010"</f>
        <v>08/07/2010</v>
      </c>
      <c r="B4004">
        <v>3</v>
      </c>
      <c r="C4004">
        <v>40000</v>
      </c>
      <c r="D4004">
        <v>61775</v>
      </c>
      <c r="E4004">
        <v>40000</v>
      </c>
      <c r="F4004">
        <v>40000</v>
      </c>
      <c r="G4004" s="1">
        <v>1.4999999999999999E-2</v>
      </c>
      <c r="H4004" s="1">
        <v>1.4999999999999999E-2</v>
      </c>
      <c r="I4004" s="1">
        <v>1.4999999999999999E-2</v>
      </c>
      <c r="J4004" s="1">
        <v>0.56540000000000001</v>
      </c>
    </row>
    <row r="4005" spans="1:10" x14ac:dyDescent="0.2">
      <c r="A4005" t="str">
        <f>"07/07/2010"</f>
        <v>07/07/2010</v>
      </c>
      <c r="B4005">
        <v>1</v>
      </c>
      <c r="C4005">
        <v>54000</v>
      </c>
      <c r="D4005">
        <v>89585</v>
      </c>
      <c r="E4005">
        <v>54000</v>
      </c>
      <c r="F4005">
        <v>54000</v>
      </c>
      <c r="G4005" s="1">
        <v>1.4999999999999999E-2</v>
      </c>
      <c r="H4005" s="1">
        <v>1.4999999999999999E-2</v>
      </c>
      <c r="I4005" s="1">
        <v>1.4999999999999999E-2</v>
      </c>
      <c r="J4005" s="1">
        <v>0.52110000000000001</v>
      </c>
    </row>
    <row r="4006" spans="1:10" x14ac:dyDescent="0.2">
      <c r="A4006" t="str">
        <f>"06/07/2010"</f>
        <v>06/07/2010</v>
      </c>
      <c r="B4006">
        <v>1</v>
      </c>
      <c r="C4006">
        <v>45000</v>
      </c>
      <c r="D4006">
        <v>74503</v>
      </c>
      <c r="E4006">
        <v>45000</v>
      </c>
      <c r="F4006">
        <v>45000</v>
      </c>
      <c r="G4006" s="1">
        <v>1.4999999999999999E-2</v>
      </c>
      <c r="H4006" s="1">
        <v>1.4999999999999999E-2</v>
      </c>
      <c r="I4006" s="1">
        <v>1.4999999999999999E-2</v>
      </c>
      <c r="J4006" s="1">
        <v>0.50660000000000005</v>
      </c>
    </row>
    <row r="4007" spans="1:10" x14ac:dyDescent="0.2">
      <c r="A4007" t="str">
        <f>"05/07/2010"</f>
        <v>05/07/2010</v>
      </c>
      <c r="B4007">
        <v>1</v>
      </c>
      <c r="C4007">
        <v>45000</v>
      </c>
      <c r="D4007">
        <v>72100</v>
      </c>
      <c r="E4007">
        <v>45000</v>
      </c>
      <c r="F4007">
        <v>45000</v>
      </c>
      <c r="G4007" s="1">
        <v>1.4999999999999999E-2</v>
      </c>
      <c r="H4007" s="1">
        <v>1.4999999999999999E-2</v>
      </c>
      <c r="I4007" s="1">
        <v>1.4999999999999999E-2</v>
      </c>
      <c r="J4007" s="1">
        <v>0.54100000000000004</v>
      </c>
    </row>
    <row r="4008" spans="1:10" x14ac:dyDescent="0.2">
      <c r="A4008" t="str">
        <f>"04/07/2010"</f>
        <v>04/07/2010</v>
      </c>
      <c r="B4008">
        <v>1</v>
      </c>
      <c r="C4008">
        <v>44500</v>
      </c>
      <c r="D4008">
        <v>66045</v>
      </c>
      <c r="E4008">
        <v>44500</v>
      </c>
      <c r="F4008">
        <v>44500</v>
      </c>
      <c r="G4008" s="1">
        <v>1.4999999999999999E-2</v>
      </c>
      <c r="H4008" s="1">
        <v>1.4999999999999999E-2</v>
      </c>
      <c r="I4008" s="1">
        <v>1.4999999999999999E-2</v>
      </c>
      <c r="J4008" s="1">
        <v>0.59</v>
      </c>
    </row>
    <row r="4009" spans="1:10" x14ac:dyDescent="0.2">
      <c r="A4009" t="str">
        <f>"01/07/2010"</f>
        <v>01/07/2010</v>
      </c>
      <c r="B4009">
        <v>3</v>
      </c>
      <c r="C4009">
        <v>44500</v>
      </c>
      <c r="D4009">
        <v>58470</v>
      </c>
      <c r="E4009">
        <v>44500</v>
      </c>
      <c r="F4009">
        <v>44500</v>
      </c>
      <c r="G4009" s="1">
        <v>1.4999999999999999E-2</v>
      </c>
      <c r="H4009" s="1">
        <v>1.4999999999999999E-2</v>
      </c>
      <c r="I4009" s="1">
        <v>1.4999999999999999E-2</v>
      </c>
      <c r="J4009" s="1">
        <v>0.70709999999999995</v>
      </c>
    </row>
    <row r="4010" spans="1:10" x14ac:dyDescent="0.2">
      <c r="A4010" t="str">
        <f>"30/06/2010"</f>
        <v>30/06/2010</v>
      </c>
      <c r="B4010">
        <v>1</v>
      </c>
      <c r="C4010">
        <v>36000</v>
      </c>
      <c r="D4010">
        <v>36318</v>
      </c>
      <c r="E4010">
        <v>36000</v>
      </c>
      <c r="F4010">
        <v>36000</v>
      </c>
      <c r="G4010" s="1">
        <v>1.4999999999999999E-2</v>
      </c>
      <c r="H4010" s="1">
        <v>1.49E-2</v>
      </c>
      <c r="I4010" s="1">
        <v>1.49E-2</v>
      </c>
      <c r="J4010" s="1">
        <v>0.97899999999999998</v>
      </c>
    </row>
    <row r="4011" spans="1:10" x14ac:dyDescent="0.2">
      <c r="A4011" t="str">
        <f>"29/06/2010"</f>
        <v>29/06/2010</v>
      </c>
      <c r="B4011">
        <v>1</v>
      </c>
      <c r="C4011">
        <v>26000</v>
      </c>
      <c r="D4011">
        <v>54825</v>
      </c>
      <c r="E4011">
        <v>26000</v>
      </c>
      <c r="F4011">
        <v>26000</v>
      </c>
      <c r="G4011" s="1">
        <v>1.49E-2</v>
      </c>
      <c r="H4011" s="1">
        <v>1.49E-2</v>
      </c>
      <c r="I4011" s="1">
        <v>1.49E-2</v>
      </c>
      <c r="J4011" s="1">
        <v>0.76680000000000004</v>
      </c>
    </row>
    <row r="4012" spans="1:10" x14ac:dyDescent="0.2">
      <c r="A4012" t="str">
        <f>"28/06/2010"</f>
        <v>28/06/2010</v>
      </c>
      <c r="B4012">
        <v>1</v>
      </c>
      <c r="C4012">
        <v>24000</v>
      </c>
      <c r="D4012">
        <v>66843</v>
      </c>
      <c r="E4012">
        <v>24000</v>
      </c>
      <c r="F4012">
        <v>24000</v>
      </c>
      <c r="G4012" s="1">
        <v>1.49E-2</v>
      </c>
      <c r="H4012" s="1">
        <v>1.49E-2</v>
      </c>
      <c r="I4012" s="1">
        <v>1.49E-2</v>
      </c>
      <c r="J4012" s="1">
        <v>0.94359999999999999</v>
      </c>
    </row>
    <row r="4013" spans="1:10" x14ac:dyDescent="0.2">
      <c r="A4013" t="str">
        <f>"27/06/2010"</f>
        <v>27/06/2010</v>
      </c>
      <c r="B4013">
        <v>1</v>
      </c>
      <c r="C4013">
        <v>21500</v>
      </c>
      <c r="D4013">
        <v>57656</v>
      </c>
      <c r="E4013">
        <v>21500</v>
      </c>
      <c r="F4013">
        <v>21500</v>
      </c>
      <c r="G4013" s="1">
        <v>1.4999999999999999E-2</v>
      </c>
      <c r="H4013" s="1">
        <v>1.49E-2</v>
      </c>
      <c r="I4013" s="1">
        <v>1.49E-2</v>
      </c>
      <c r="J4013" s="1">
        <v>0.12239999999999999</v>
      </c>
    </row>
    <row r="4014" spans="1:10" x14ac:dyDescent="0.2">
      <c r="A4014" t="str">
        <f>"24/06/2010"</f>
        <v>24/06/2010</v>
      </c>
      <c r="B4014">
        <v>3</v>
      </c>
      <c r="C4014">
        <v>21000</v>
      </c>
      <c r="D4014">
        <v>60864</v>
      </c>
      <c r="E4014">
        <v>21000</v>
      </c>
      <c r="F4014">
        <v>21000</v>
      </c>
      <c r="G4014" s="1">
        <v>1.4999999999999999E-2</v>
      </c>
      <c r="H4014" s="1">
        <v>1.49E-2</v>
      </c>
      <c r="I4014" s="1">
        <v>1.49E-2</v>
      </c>
      <c r="J4014" s="1">
        <v>8.9899999999999994E-2</v>
      </c>
    </row>
    <row r="4015" spans="1:10" x14ac:dyDescent="0.2">
      <c r="A4015" t="str">
        <f>"23/06/2010"</f>
        <v>23/06/2010</v>
      </c>
      <c r="B4015">
        <v>1</v>
      </c>
      <c r="C4015">
        <v>21000</v>
      </c>
      <c r="D4015">
        <v>67522</v>
      </c>
      <c r="E4015">
        <v>21000</v>
      </c>
      <c r="F4015">
        <v>21000</v>
      </c>
      <c r="G4015" s="1">
        <v>1.4999999999999999E-2</v>
      </c>
      <c r="H4015" s="1">
        <v>1.49E-2</v>
      </c>
      <c r="I4015" s="1">
        <v>1.49E-2</v>
      </c>
      <c r="J4015" s="1">
        <v>0.17510000000000001</v>
      </c>
    </row>
    <row r="4016" spans="1:10" x14ac:dyDescent="0.2">
      <c r="A4016" t="str">
        <f>"22/06/2010"</f>
        <v>22/06/2010</v>
      </c>
      <c r="B4016">
        <v>1</v>
      </c>
      <c r="C4016">
        <v>21000</v>
      </c>
      <c r="D4016">
        <v>68264</v>
      </c>
      <c r="E4016">
        <v>21000</v>
      </c>
      <c r="F4016">
        <v>21000</v>
      </c>
      <c r="G4016" s="1">
        <v>1.4999999999999999E-2</v>
      </c>
      <c r="H4016" s="1">
        <v>1.4999999999999999E-2</v>
      </c>
      <c r="I4016" s="1">
        <v>1.4999999999999999E-2</v>
      </c>
      <c r="J4016" s="1">
        <v>0.1893</v>
      </c>
    </row>
    <row r="4017" spans="1:10" x14ac:dyDescent="0.2">
      <c r="A4017" t="str">
        <f>"21/06/2010"</f>
        <v>21/06/2010</v>
      </c>
      <c r="B4017">
        <v>1</v>
      </c>
      <c r="C4017">
        <v>22000</v>
      </c>
      <c r="D4017">
        <v>60825</v>
      </c>
      <c r="E4017">
        <v>22000</v>
      </c>
      <c r="F4017">
        <v>22000</v>
      </c>
      <c r="G4017" s="1">
        <v>1.4999999999999999E-2</v>
      </c>
      <c r="H4017" s="1">
        <v>1.4999999999999999E-2</v>
      </c>
      <c r="I4017" s="1">
        <v>1.4999999999999999E-2</v>
      </c>
      <c r="J4017" s="1">
        <v>0.23119999999999999</v>
      </c>
    </row>
    <row r="4018" spans="1:10" x14ac:dyDescent="0.2">
      <c r="A4018" t="str">
        <f>"20/06/2010"</f>
        <v>20/06/2010</v>
      </c>
      <c r="B4018">
        <v>1</v>
      </c>
      <c r="C4018">
        <v>21500</v>
      </c>
      <c r="D4018">
        <v>55259</v>
      </c>
      <c r="E4018">
        <v>21500</v>
      </c>
      <c r="F4018">
        <v>21500</v>
      </c>
      <c r="G4018" s="1">
        <v>1.4999999999999999E-2</v>
      </c>
      <c r="H4018" s="1">
        <v>1.4999999999999999E-2</v>
      </c>
      <c r="I4018" s="1">
        <v>1.4999999999999999E-2</v>
      </c>
      <c r="J4018" s="1">
        <v>0.24310000000000001</v>
      </c>
    </row>
    <row r="4019" spans="1:10" x14ac:dyDescent="0.2">
      <c r="A4019" t="str">
        <f>"17/06/2010"</f>
        <v>17/06/2010</v>
      </c>
      <c r="B4019">
        <v>3</v>
      </c>
      <c r="C4019">
        <v>22500</v>
      </c>
      <c r="D4019">
        <v>53417</v>
      </c>
      <c r="E4019">
        <v>22500</v>
      </c>
      <c r="F4019">
        <v>22500</v>
      </c>
      <c r="G4019" s="1">
        <v>1.4999999999999999E-2</v>
      </c>
      <c r="H4019" s="1">
        <v>1.4999999999999999E-2</v>
      </c>
      <c r="I4019" s="1">
        <v>1.4999999999999999E-2</v>
      </c>
      <c r="J4019" s="1">
        <v>0.29570000000000002</v>
      </c>
    </row>
    <row r="4020" spans="1:10" x14ac:dyDescent="0.2">
      <c r="A4020" t="str">
        <f>"16/06/2010"</f>
        <v>16/06/2010</v>
      </c>
      <c r="B4020">
        <v>1</v>
      </c>
      <c r="C4020">
        <v>23000</v>
      </c>
      <c r="D4020">
        <v>54649</v>
      </c>
      <c r="E4020">
        <v>23000</v>
      </c>
      <c r="F4020">
        <v>23000</v>
      </c>
      <c r="G4020" s="1">
        <v>1.4999999999999999E-2</v>
      </c>
      <c r="H4020" s="1">
        <v>1.4999999999999999E-2</v>
      </c>
      <c r="I4020" s="1">
        <v>1.4999999999999999E-2</v>
      </c>
      <c r="J4020" s="1">
        <v>0.3029</v>
      </c>
    </row>
    <row r="4021" spans="1:10" x14ac:dyDescent="0.2">
      <c r="A4021" t="str">
        <f>"15/06/2010"</f>
        <v>15/06/2010</v>
      </c>
      <c r="B4021">
        <v>1</v>
      </c>
      <c r="C4021">
        <v>31500</v>
      </c>
      <c r="D4021">
        <v>67957</v>
      </c>
      <c r="E4021">
        <v>31500</v>
      </c>
      <c r="F4021">
        <v>31500</v>
      </c>
      <c r="G4021" s="1">
        <v>1.4999999999999999E-2</v>
      </c>
      <c r="H4021" s="1">
        <v>1.4999999999999999E-2</v>
      </c>
      <c r="I4021" s="1">
        <v>1.4999999999999999E-2</v>
      </c>
      <c r="J4021" s="1">
        <v>0.37519999999999998</v>
      </c>
    </row>
    <row r="4022" spans="1:10" x14ac:dyDescent="0.2">
      <c r="A4022" t="str">
        <f>"14/06/2010"</f>
        <v>14/06/2010</v>
      </c>
      <c r="B4022">
        <v>1</v>
      </c>
      <c r="C4022">
        <v>35500</v>
      </c>
      <c r="D4022">
        <v>71224</v>
      </c>
      <c r="E4022">
        <v>35500</v>
      </c>
      <c r="F4022">
        <v>35500</v>
      </c>
      <c r="G4022" s="1">
        <v>1.4999999999999999E-2</v>
      </c>
      <c r="H4022" s="1">
        <v>1.4999999999999999E-2</v>
      </c>
      <c r="I4022" s="1">
        <v>1.4999999999999999E-2</v>
      </c>
      <c r="J4022" s="1">
        <v>0.41339999999999999</v>
      </c>
    </row>
    <row r="4023" spans="1:10" x14ac:dyDescent="0.2">
      <c r="A4023" t="str">
        <f>"13/06/2010"</f>
        <v>13/06/2010</v>
      </c>
      <c r="B4023">
        <v>1</v>
      </c>
      <c r="C4023">
        <v>35500</v>
      </c>
      <c r="D4023">
        <v>76086</v>
      </c>
      <c r="E4023">
        <v>35500</v>
      </c>
      <c r="F4023">
        <v>35500</v>
      </c>
      <c r="G4023" s="1">
        <v>1.4999999999999999E-2</v>
      </c>
      <c r="H4023" s="1">
        <v>1.4999999999999999E-2</v>
      </c>
      <c r="I4023" s="1">
        <v>1.4999999999999999E-2</v>
      </c>
      <c r="J4023" s="1">
        <v>0.3901</v>
      </c>
    </row>
    <row r="4024" spans="1:10" x14ac:dyDescent="0.2">
      <c r="A4024" t="str">
        <f>"10/06/2010"</f>
        <v>10/06/2010</v>
      </c>
      <c r="B4024">
        <v>3</v>
      </c>
      <c r="C4024">
        <v>35500</v>
      </c>
      <c r="D4024">
        <v>73453</v>
      </c>
      <c r="E4024">
        <v>35500</v>
      </c>
      <c r="F4024">
        <v>35500</v>
      </c>
      <c r="G4024" s="1">
        <v>1.4999999999999999E-2</v>
      </c>
      <c r="H4024" s="1">
        <v>1.4999999999999999E-2</v>
      </c>
      <c r="I4024" s="1">
        <v>1.4999999999999999E-2</v>
      </c>
      <c r="J4024" s="1">
        <v>0.40329999999999999</v>
      </c>
    </row>
    <row r="4025" spans="1:10" x14ac:dyDescent="0.2">
      <c r="A4025" t="str">
        <f>"09/06/2010"</f>
        <v>09/06/2010</v>
      </c>
      <c r="B4025">
        <v>1</v>
      </c>
      <c r="C4025">
        <v>35000</v>
      </c>
      <c r="D4025">
        <v>72191</v>
      </c>
      <c r="E4025">
        <v>35000</v>
      </c>
      <c r="F4025">
        <v>35000</v>
      </c>
      <c r="G4025" s="1">
        <v>1.4999999999999999E-2</v>
      </c>
      <c r="H4025" s="1">
        <v>1.4999999999999999E-2</v>
      </c>
      <c r="I4025" s="1">
        <v>1.4999999999999999E-2</v>
      </c>
      <c r="J4025" s="1">
        <v>0.37909999999999999</v>
      </c>
    </row>
    <row r="4026" spans="1:10" x14ac:dyDescent="0.2">
      <c r="A4026" t="str">
        <f>"08/06/2010"</f>
        <v>08/06/2010</v>
      </c>
      <c r="B4026">
        <v>1</v>
      </c>
      <c r="C4026">
        <v>35000</v>
      </c>
      <c r="D4026">
        <v>65395</v>
      </c>
      <c r="E4026">
        <v>35000</v>
      </c>
      <c r="F4026">
        <v>35000</v>
      </c>
      <c r="G4026" s="1">
        <v>1.4999999999999999E-2</v>
      </c>
      <c r="H4026" s="1">
        <v>1.4999999999999999E-2</v>
      </c>
      <c r="I4026" s="1">
        <v>1.4999999999999999E-2</v>
      </c>
      <c r="J4026" s="1">
        <v>0.44080000000000003</v>
      </c>
    </row>
    <row r="4027" spans="1:10" x14ac:dyDescent="0.2">
      <c r="A4027" t="str">
        <f>"07/06/2010"</f>
        <v>07/06/2010</v>
      </c>
      <c r="B4027">
        <v>1</v>
      </c>
      <c r="C4027">
        <v>35000</v>
      </c>
      <c r="D4027">
        <v>60164</v>
      </c>
      <c r="E4027">
        <v>35000</v>
      </c>
      <c r="F4027">
        <v>35000</v>
      </c>
      <c r="G4027" s="1">
        <v>1.4999999999999999E-2</v>
      </c>
      <c r="H4027" s="1">
        <v>1.4999999999999999E-2</v>
      </c>
      <c r="I4027" s="1">
        <v>1.4999999999999999E-2</v>
      </c>
      <c r="J4027" s="1">
        <v>0.47920000000000001</v>
      </c>
    </row>
    <row r="4028" spans="1:10" x14ac:dyDescent="0.2">
      <c r="A4028" t="str">
        <f>"06/06/2010"</f>
        <v>06/06/2010</v>
      </c>
      <c r="B4028">
        <v>1</v>
      </c>
      <c r="C4028">
        <v>35000</v>
      </c>
      <c r="D4028">
        <v>58315</v>
      </c>
      <c r="E4028">
        <v>35000</v>
      </c>
      <c r="F4028">
        <v>35000</v>
      </c>
      <c r="G4028" s="1">
        <v>1.4999999999999999E-2</v>
      </c>
      <c r="H4028" s="1">
        <v>1.4999999999999999E-2</v>
      </c>
      <c r="I4028" s="1">
        <v>1.4999999999999999E-2</v>
      </c>
      <c r="J4028" s="1">
        <v>0.49730000000000002</v>
      </c>
    </row>
    <row r="4029" spans="1:10" x14ac:dyDescent="0.2">
      <c r="A4029" t="str">
        <f>"03/06/2010"</f>
        <v>03/06/2010</v>
      </c>
      <c r="B4029">
        <v>3</v>
      </c>
      <c r="C4029">
        <v>34000</v>
      </c>
      <c r="D4029">
        <v>53705</v>
      </c>
      <c r="E4029">
        <v>34000</v>
      </c>
      <c r="F4029">
        <v>34000</v>
      </c>
      <c r="G4029" s="1">
        <v>1.4999999999999999E-2</v>
      </c>
      <c r="H4029" s="1">
        <v>1.4999999999999999E-2</v>
      </c>
      <c r="I4029" s="1">
        <v>1.4999999999999999E-2</v>
      </c>
      <c r="J4029" s="1">
        <v>0.53139999999999998</v>
      </c>
    </row>
    <row r="4030" spans="1:10" x14ac:dyDescent="0.2">
      <c r="A4030" t="str">
        <f>"02/06/2010"</f>
        <v>02/06/2010</v>
      </c>
      <c r="B4030">
        <v>1</v>
      </c>
      <c r="C4030">
        <v>34000</v>
      </c>
      <c r="D4030">
        <v>50523</v>
      </c>
      <c r="E4030">
        <v>34000</v>
      </c>
      <c r="F4030">
        <v>34000</v>
      </c>
      <c r="G4030" s="1">
        <v>1.4999999999999999E-2</v>
      </c>
      <c r="H4030" s="1">
        <v>1.4999999999999999E-2</v>
      </c>
      <c r="I4030" s="1">
        <v>1.4999999999999999E-2</v>
      </c>
      <c r="J4030" s="1">
        <v>0.57030000000000003</v>
      </c>
    </row>
    <row r="4031" spans="1:10" x14ac:dyDescent="0.2">
      <c r="A4031" t="str">
        <f>"01/06/2010"</f>
        <v>01/06/2010</v>
      </c>
      <c r="B4031">
        <v>1</v>
      </c>
      <c r="C4031">
        <v>37000</v>
      </c>
      <c r="D4031">
        <v>57295</v>
      </c>
      <c r="E4031">
        <v>37000</v>
      </c>
      <c r="F4031">
        <v>37000</v>
      </c>
      <c r="G4031" s="1">
        <v>1.4999999999999999E-2</v>
      </c>
      <c r="H4031" s="1">
        <v>1.4999999999999999E-2</v>
      </c>
      <c r="I4031" s="1">
        <v>1.4999999999999999E-2</v>
      </c>
      <c r="J4031" s="1">
        <v>0.55979999999999996</v>
      </c>
    </row>
    <row r="4032" spans="1:10" x14ac:dyDescent="0.2">
      <c r="A4032" t="str">
        <f>"31/05/2010"</f>
        <v>31/05/2010</v>
      </c>
      <c r="B4032">
        <v>1</v>
      </c>
      <c r="C4032">
        <v>31500</v>
      </c>
      <c r="D4032">
        <v>45874</v>
      </c>
      <c r="E4032">
        <v>31500</v>
      </c>
      <c r="F4032">
        <v>31500</v>
      </c>
      <c r="G4032" s="1">
        <v>1.4999999999999999E-2</v>
      </c>
      <c r="H4032" s="1">
        <v>1.4999999999999999E-2</v>
      </c>
      <c r="I4032" s="1">
        <v>1.4999999999999999E-2</v>
      </c>
      <c r="J4032" s="1">
        <v>0.58720000000000006</v>
      </c>
    </row>
    <row r="4033" spans="1:10" x14ac:dyDescent="0.2">
      <c r="A4033" t="str">
        <f>"30/05/2010"</f>
        <v>30/05/2010</v>
      </c>
      <c r="B4033">
        <v>1</v>
      </c>
      <c r="C4033">
        <v>30000</v>
      </c>
      <c r="D4033">
        <v>40445</v>
      </c>
      <c r="E4033">
        <v>30000</v>
      </c>
      <c r="F4033">
        <v>30000</v>
      </c>
      <c r="G4033" s="1">
        <v>1.4999999999999999E-2</v>
      </c>
      <c r="H4033" s="1">
        <v>1.4999999999999999E-2</v>
      </c>
      <c r="I4033" s="1">
        <v>1.4999999999999999E-2</v>
      </c>
      <c r="J4033" s="1">
        <v>0.64300000000000002</v>
      </c>
    </row>
    <row r="4034" spans="1:10" x14ac:dyDescent="0.2">
      <c r="A4034" t="str">
        <f>"27/05/2010"</f>
        <v>27/05/2010</v>
      </c>
      <c r="B4034">
        <v>3</v>
      </c>
      <c r="C4034">
        <v>30000</v>
      </c>
      <c r="D4034">
        <v>37851</v>
      </c>
      <c r="E4034">
        <v>30000</v>
      </c>
      <c r="F4034">
        <v>30000</v>
      </c>
      <c r="G4034" s="1">
        <v>1.4999999999999999E-2</v>
      </c>
      <c r="H4034" s="1">
        <v>1.4999999999999999E-2</v>
      </c>
      <c r="I4034" s="1">
        <v>1.4999999999999999E-2</v>
      </c>
      <c r="J4034" s="1">
        <v>0.70150000000000001</v>
      </c>
    </row>
    <row r="4035" spans="1:10" x14ac:dyDescent="0.2">
      <c r="A4035" t="str">
        <f>"26/05/2010"</f>
        <v>26/05/2010</v>
      </c>
      <c r="B4035">
        <v>1</v>
      </c>
      <c r="C4035">
        <v>26500</v>
      </c>
      <c r="D4035">
        <v>25460</v>
      </c>
      <c r="E4035">
        <v>25460</v>
      </c>
      <c r="F4035">
        <v>25460</v>
      </c>
      <c r="G4035" s="1">
        <v>1.4999999999999999E-2</v>
      </c>
      <c r="H4035" s="1">
        <v>1.49E-2</v>
      </c>
      <c r="I4035" s="1">
        <v>1.49E-2</v>
      </c>
      <c r="J4035" s="1">
        <v>1</v>
      </c>
    </row>
    <row r="4036" spans="1:10" x14ac:dyDescent="0.2">
      <c r="A4036" t="str">
        <f>"25/05/2010"</f>
        <v>25/05/2010</v>
      </c>
      <c r="B4036">
        <v>1</v>
      </c>
      <c r="C4036">
        <v>25000</v>
      </c>
      <c r="D4036">
        <v>67127</v>
      </c>
      <c r="E4036">
        <v>25000</v>
      </c>
      <c r="F4036">
        <v>25000</v>
      </c>
      <c r="G4036" s="1">
        <v>1.4999999999999999E-2</v>
      </c>
      <c r="H4036" s="1">
        <v>1.49E-2</v>
      </c>
      <c r="I4036" s="1">
        <v>1.49E-2</v>
      </c>
      <c r="J4036" s="1">
        <v>0.1691</v>
      </c>
    </row>
    <row r="4037" spans="1:10" x14ac:dyDescent="0.2">
      <c r="A4037" t="str">
        <f>"24/05/2010"</f>
        <v>24/05/2010</v>
      </c>
      <c r="B4037">
        <v>1</v>
      </c>
      <c r="C4037">
        <v>26000</v>
      </c>
      <c r="D4037">
        <v>83539</v>
      </c>
      <c r="E4037">
        <v>26000</v>
      </c>
      <c r="F4037">
        <v>26000</v>
      </c>
      <c r="G4037" s="1">
        <v>1.4999999999999999E-2</v>
      </c>
      <c r="H4037" s="1">
        <v>1.49E-2</v>
      </c>
      <c r="I4037" s="1">
        <v>1.49E-2</v>
      </c>
      <c r="J4037" s="1">
        <v>0.2157</v>
      </c>
    </row>
    <row r="4038" spans="1:10" x14ac:dyDescent="0.2">
      <c r="A4038" t="str">
        <f>"23/05/2010"</f>
        <v>23/05/2010</v>
      </c>
      <c r="B4038">
        <v>1</v>
      </c>
      <c r="C4038">
        <v>26500</v>
      </c>
      <c r="D4038">
        <v>70716</v>
      </c>
      <c r="E4038">
        <v>26500</v>
      </c>
      <c r="F4038">
        <v>26500</v>
      </c>
      <c r="G4038" s="1">
        <v>1.4999999999999999E-2</v>
      </c>
      <c r="H4038" s="1">
        <v>1.4999999999999999E-2</v>
      </c>
      <c r="I4038" s="1">
        <v>1.4999999999999999E-2</v>
      </c>
      <c r="J4038" s="1">
        <v>0.2742</v>
      </c>
    </row>
    <row r="4039" spans="1:10" x14ac:dyDescent="0.2">
      <c r="A4039" t="str">
        <f>"20/05/2010"</f>
        <v>20/05/2010</v>
      </c>
      <c r="B4039">
        <v>3</v>
      </c>
      <c r="C4039">
        <v>28000</v>
      </c>
      <c r="D4039">
        <v>68380</v>
      </c>
      <c r="E4039">
        <v>28000</v>
      </c>
      <c r="F4039">
        <v>28000</v>
      </c>
      <c r="G4039" s="1">
        <v>1.4999999999999999E-2</v>
      </c>
      <c r="H4039" s="1">
        <v>1.4999999999999999E-2</v>
      </c>
      <c r="I4039" s="1">
        <v>1.4999999999999999E-2</v>
      </c>
      <c r="J4039" s="1">
        <v>0.30859999999999999</v>
      </c>
    </row>
    <row r="4040" spans="1:10" x14ac:dyDescent="0.2">
      <c r="A4040" t="str">
        <f>"17/05/2010"</f>
        <v>17/05/2010</v>
      </c>
      <c r="B4040">
        <v>3</v>
      </c>
      <c r="C4040">
        <v>29000</v>
      </c>
      <c r="D4040">
        <v>62660</v>
      </c>
      <c r="E4040">
        <v>29000</v>
      </c>
      <c r="F4040">
        <v>29000</v>
      </c>
      <c r="G4040" s="1">
        <v>1.4999999999999999E-2</v>
      </c>
      <c r="H4040" s="1">
        <v>1.4999999999999999E-2</v>
      </c>
      <c r="I4040" s="1">
        <v>1.4999999999999999E-2</v>
      </c>
      <c r="J4040" s="1">
        <v>0.36559999999999998</v>
      </c>
    </row>
    <row r="4041" spans="1:10" x14ac:dyDescent="0.2">
      <c r="A4041" t="str">
        <f>"16/05/2010"</f>
        <v>16/05/2010</v>
      </c>
      <c r="B4041">
        <v>1</v>
      </c>
      <c r="C4041">
        <v>37500</v>
      </c>
      <c r="D4041">
        <v>83238</v>
      </c>
      <c r="E4041">
        <v>37500</v>
      </c>
      <c r="F4041">
        <v>37500</v>
      </c>
      <c r="G4041" s="1">
        <v>1.4999999999999999E-2</v>
      </c>
      <c r="H4041" s="1">
        <v>1.4999999999999999E-2</v>
      </c>
      <c r="I4041" s="1">
        <v>1.4999999999999999E-2</v>
      </c>
      <c r="J4041" s="1">
        <v>0.36559999999999998</v>
      </c>
    </row>
    <row r="4042" spans="1:10" x14ac:dyDescent="0.2">
      <c r="A4042" t="str">
        <f>"13/05/2010"</f>
        <v>13/05/2010</v>
      </c>
      <c r="B4042">
        <v>3</v>
      </c>
      <c r="C4042">
        <v>39000</v>
      </c>
      <c r="D4042">
        <v>80380</v>
      </c>
      <c r="E4042">
        <v>39000</v>
      </c>
      <c r="F4042">
        <v>39000</v>
      </c>
      <c r="G4042" s="1">
        <v>1.4999999999999999E-2</v>
      </c>
      <c r="H4042" s="1">
        <v>1.4999999999999999E-2</v>
      </c>
      <c r="I4042" s="1">
        <v>1.4999999999999999E-2</v>
      </c>
      <c r="J4042" s="1">
        <v>0.41549999999999998</v>
      </c>
    </row>
    <row r="4043" spans="1:10" x14ac:dyDescent="0.2">
      <c r="A4043" t="str">
        <f>"12/05/2010"</f>
        <v>12/05/2010</v>
      </c>
      <c r="B4043">
        <v>1</v>
      </c>
      <c r="C4043">
        <v>40500</v>
      </c>
      <c r="D4043">
        <v>79335</v>
      </c>
      <c r="E4043">
        <v>40500</v>
      </c>
      <c r="F4043">
        <v>40500</v>
      </c>
      <c r="G4043" s="1">
        <v>1.4999999999999999E-2</v>
      </c>
      <c r="H4043" s="1">
        <v>1.4999999999999999E-2</v>
      </c>
      <c r="I4043" s="1">
        <v>1.4999999999999999E-2</v>
      </c>
      <c r="J4043" s="1">
        <v>0.4516</v>
      </c>
    </row>
    <row r="4044" spans="1:10" x14ac:dyDescent="0.2">
      <c r="A4044" t="str">
        <f>"11/05/2010"</f>
        <v>11/05/2010</v>
      </c>
      <c r="B4044">
        <v>1</v>
      </c>
      <c r="C4044">
        <v>39500</v>
      </c>
      <c r="D4044">
        <v>77225</v>
      </c>
      <c r="E4044">
        <v>39500</v>
      </c>
      <c r="F4044">
        <v>39500</v>
      </c>
      <c r="G4044" s="1">
        <v>1.4999999999999999E-2</v>
      </c>
      <c r="H4044" s="1">
        <v>1.4999999999999999E-2</v>
      </c>
      <c r="I4044" s="1">
        <v>1.4999999999999999E-2</v>
      </c>
      <c r="J4044" s="1">
        <v>0.45429999999999998</v>
      </c>
    </row>
    <row r="4045" spans="1:10" x14ac:dyDescent="0.2">
      <c r="A4045" t="str">
        <f>"10/05/2010"</f>
        <v>10/05/2010</v>
      </c>
      <c r="B4045">
        <v>1</v>
      </c>
      <c r="C4045">
        <v>39500</v>
      </c>
      <c r="D4045">
        <v>73491</v>
      </c>
      <c r="E4045">
        <v>39500</v>
      </c>
      <c r="F4045">
        <v>39500</v>
      </c>
      <c r="G4045" s="1">
        <v>1.4999999999999999E-2</v>
      </c>
      <c r="H4045" s="1">
        <v>1.4999999999999999E-2</v>
      </c>
      <c r="I4045" s="1">
        <v>1.4999999999999999E-2</v>
      </c>
      <c r="J4045" s="1">
        <v>0.46750000000000003</v>
      </c>
    </row>
    <row r="4046" spans="1:10" x14ac:dyDescent="0.2">
      <c r="A4046" t="str">
        <f>"09/05/2010"</f>
        <v>09/05/2010</v>
      </c>
      <c r="B4046">
        <v>1</v>
      </c>
      <c r="C4046">
        <v>40000</v>
      </c>
      <c r="D4046">
        <v>75202</v>
      </c>
      <c r="E4046">
        <v>40000</v>
      </c>
      <c r="F4046">
        <v>40000</v>
      </c>
      <c r="G4046" s="1">
        <v>1.4999999999999999E-2</v>
      </c>
      <c r="H4046" s="1">
        <v>1.4999999999999999E-2</v>
      </c>
      <c r="I4046" s="1">
        <v>1.4999999999999999E-2</v>
      </c>
      <c r="J4046" s="1">
        <v>0.48309999999999997</v>
      </c>
    </row>
    <row r="4047" spans="1:10" x14ac:dyDescent="0.2">
      <c r="A4047" t="str">
        <f>"06/05/2010"</f>
        <v>06/05/2010</v>
      </c>
      <c r="B4047">
        <v>3</v>
      </c>
      <c r="C4047">
        <v>39500</v>
      </c>
      <c r="D4047">
        <v>71930</v>
      </c>
      <c r="E4047">
        <v>39500</v>
      </c>
      <c r="F4047">
        <v>39500</v>
      </c>
      <c r="G4047" s="1">
        <v>1.4999999999999999E-2</v>
      </c>
      <c r="H4047" s="1">
        <v>1.4999999999999999E-2</v>
      </c>
      <c r="I4047" s="1">
        <v>1.4999999999999999E-2</v>
      </c>
      <c r="J4047" s="1">
        <v>0.49259999999999998</v>
      </c>
    </row>
    <row r="4048" spans="1:10" x14ac:dyDescent="0.2">
      <c r="A4048" t="str">
        <f>"05/05/2010"</f>
        <v>05/05/2010</v>
      </c>
      <c r="B4048">
        <v>1</v>
      </c>
      <c r="C4048">
        <v>39500</v>
      </c>
      <c r="D4048">
        <v>69587</v>
      </c>
      <c r="E4048">
        <v>39500</v>
      </c>
      <c r="F4048">
        <v>39500</v>
      </c>
      <c r="G4048" s="1">
        <v>1.4999999999999999E-2</v>
      </c>
      <c r="H4048" s="1">
        <v>1.4999999999999999E-2</v>
      </c>
      <c r="I4048" s="1">
        <v>1.4999999999999999E-2</v>
      </c>
      <c r="J4048" s="1">
        <v>0.50780000000000003</v>
      </c>
    </row>
    <row r="4049" spans="1:10" x14ac:dyDescent="0.2">
      <c r="A4049" t="str">
        <f>"04/05/2010"</f>
        <v>04/05/2010</v>
      </c>
      <c r="B4049">
        <v>1</v>
      </c>
      <c r="C4049">
        <v>45500</v>
      </c>
      <c r="D4049">
        <v>80145</v>
      </c>
      <c r="E4049">
        <v>45500</v>
      </c>
      <c r="F4049">
        <v>45500</v>
      </c>
      <c r="G4049" s="1">
        <v>1.4999999999999999E-2</v>
      </c>
      <c r="H4049" s="1">
        <v>1.4999999999999999E-2</v>
      </c>
      <c r="I4049" s="1">
        <v>1.4999999999999999E-2</v>
      </c>
      <c r="J4049" s="1">
        <v>0.49519999999999997</v>
      </c>
    </row>
    <row r="4050" spans="1:10" x14ac:dyDescent="0.2">
      <c r="A4050" t="str">
        <f>"03/05/2010"</f>
        <v>03/05/2010</v>
      </c>
      <c r="B4050">
        <v>1</v>
      </c>
      <c r="C4050">
        <v>44000</v>
      </c>
      <c r="D4050">
        <v>80908</v>
      </c>
      <c r="E4050">
        <v>44000</v>
      </c>
      <c r="F4050">
        <v>44000</v>
      </c>
      <c r="G4050" s="1">
        <v>1.4999999999999999E-2</v>
      </c>
      <c r="H4050" s="1">
        <v>1.4999999999999999E-2</v>
      </c>
      <c r="I4050" s="1">
        <v>1.4999999999999999E-2</v>
      </c>
      <c r="J4050" s="1">
        <v>0.47610000000000002</v>
      </c>
    </row>
    <row r="4051" spans="1:10" x14ac:dyDescent="0.2">
      <c r="A4051" t="str">
        <f>"02/05/2010"</f>
        <v>02/05/2010</v>
      </c>
      <c r="B4051">
        <v>1</v>
      </c>
      <c r="C4051">
        <v>43000</v>
      </c>
      <c r="D4051">
        <v>73620</v>
      </c>
      <c r="E4051">
        <v>43000</v>
      </c>
      <c r="F4051">
        <v>43000</v>
      </c>
      <c r="G4051" s="1">
        <v>1.4999999999999999E-2</v>
      </c>
      <c r="H4051" s="1">
        <v>1.4999999999999999E-2</v>
      </c>
      <c r="I4051" s="1">
        <v>1.4999999999999999E-2</v>
      </c>
      <c r="J4051" s="1">
        <v>0.5101</v>
      </c>
    </row>
    <row r="4052" spans="1:10" x14ac:dyDescent="0.2">
      <c r="A4052" t="str">
        <f>"30/04/2010"</f>
        <v>30/04/2010</v>
      </c>
      <c r="B4052">
        <v>2</v>
      </c>
      <c r="C4052">
        <v>9000</v>
      </c>
      <c r="D4052">
        <v>14120</v>
      </c>
      <c r="E4052">
        <v>9000</v>
      </c>
      <c r="F4052">
        <v>9000</v>
      </c>
      <c r="G4052" s="1">
        <v>1.4999999999999999E-2</v>
      </c>
      <c r="H4052" s="1">
        <v>1.4999999999999999E-2</v>
      </c>
      <c r="I4052" s="1">
        <v>1.4999999999999999E-2</v>
      </c>
      <c r="J4052" s="1">
        <v>0.62129999999999996</v>
      </c>
    </row>
    <row r="4053" spans="1:10" x14ac:dyDescent="0.2">
      <c r="A4053" t="str">
        <f>"29/04/2010"</f>
        <v>29/04/2010</v>
      </c>
      <c r="B4053">
        <v>3</v>
      </c>
      <c r="C4053">
        <v>31000</v>
      </c>
      <c r="D4053">
        <v>50335</v>
      </c>
      <c r="E4053">
        <v>31000</v>
      </c>
      <c r="F4053">
        <v>31000</v>
      </c>
      <c r="G4053" s="1">
        <v>1.4999999999999999E-2</v>
      </c>
      <c r="H4053" s="1">
        <v>1.4999999999999999E-2</v>
      </c>
      <c r="I4053" s="1">
        <v>1.4999999999999999E-2</v>
      </c>
      <c r="J4053" s="1">
        <v>0.54469999999999996</v>
      </c>
    </row>
    <row r="4054" spans="1:10" x14ac:dyDescent="0.2">
      <c r="A4054" t="str">
        <f>"28/04/2010"</f>
        <v>28/04/2010</v>
      </c>
      <c r="B4054">
        <v>1</v>
      </c>
      <c r="C4054">
        <v>28000</v>
      </c>
      <c r="D4054">
        <v>27054</v>
      </c>
      <c r="E4054">
        <v>27054</v>
      </c>
      <c r="F4054">
        <v>27054</v>
      </c>
      <c r="G4054" s="1">
        <v>1.4999999999999999E-2</v>
      </c>
      <c r="H4054" s="1">
        <v>1.49E-2</v>
      </c>
      <c r="I4054" s="1">
        <v>1.49E-2</v>
      </c>
      <c r="J4054" s="1">
        <v>1</v>
      </c>
    </row>
    <row r="4055" spans="1:10" x14ac:dyDescent="0.2">
      <c r="A4055" t="str">
        <f>"27/04/2010"</f>
        <v>27/04/2010</v>
      </c>
      <c r="B4055">
        <v>1</v>
      </c>
      <c r="C4055">
        <v>28000</v>
      </c>
      <c r="D4055">
        <v>71487</v>
      </c>
      <c r="E4055">
        <v>28000</v>
      </c>
      <c r="F4055">
        <v>28000</v>
      </c>
      <c r="G4055" s="1">
        <v>1.4999999999999999E-2</v>
      </c>
      <c r="H4055" s="1">
        <v>1.4999999999999999E-2</v>
      </c>
      <c r="I4055" s="1">
        <v>1.4999999999999999E-2</v>
      </c>
      <c r="J4055" s="1">
        <v>0.28939999999999999</v>
      </c>
    </row>
    <row r="4056" spans="1:10" x14ac:dyDescent="0.2">
      <c r="A4056" t="str">
        <f>"26/04/2010"</f>
        <v>26/04/2010</v>
      </c>
      <c r="B4056">
        <v>1</v>
      </c>
      <c r="C4056">
        <v>29000</v>
      </c>
      <c r="D4056">
        <v>67201</v>
      </c>
      <c r="E4056">
        <v>29000</v>
      </c>
      <c r="F4056">
        <v>29000</v>
      </c>
      <c r="G4056" s="1">
        <v>1.4999999999999999E-2</v>
      </c>
      <c r="H4056" s="1">
        <v>1.4999999999999999E-2</v>
      </c>
      <c r="I4056" s="1">
        <v>1.4999999999999999E-2</v>
      </c>
      <c r="J4056" s="1">
        <v>0.31559999999999999</v>
      </c>
    </row>
    <row r="4057" spans="1:10" x14ac:dyDescent="0.2">
      <c r="A4057" t="str">
        <f>"25/04/2010"</f>
        <v>25/04/2010</v>
      </c>
      <c r="B4057">
        <v>1</v>
      </c>
      <c r="C4057">
        <v>28000</v>
      </c>
      <c r="D4057">
        <v>71501</v>
      </c>
      <c r="E4057">
        <v>28000</v>
      </c>
      <c r="F4057">
        <v>28000</v>
      </c>
      <c r="G4057" s="1">
        <v>1.4999999999999999E-2</v>
      </c>
      <c r="H4057" s="1">
        <v>1.4999999999999999E-2</v>
      </c>
      <c r="I4057" s="1">
        <v>1.4999999999999999E-2</v>
      </c>
      <c r="J4057" s="1">
        <v>0.27979999999999999</v>
      </c>
    </row>
    <row r="4058" spans="1:10" x14ac:dyDescent="0.2">
      <c r="A4058" t="str">
        <f>"22/04/2010"</f>
        <v>22/04/2010</v>
      </c>
      <c r="B4058">
        <v>3</v>
      </c>
      <c r="C4058">
        <v>28000</v>
      </c>
      <c r="D4058">
        <v>62553</v>
      </c>
      <c r="E4058">
        <v>28000</v>
      </c>
      <c r="F4058">
        <v>28000</v>
      </c>
      <c r="G4058" s="1">
        <v>1.4999999999999999E-2</v>
      </c>
      <c r="H4058" s="1">
        <v>1.4999999999999999E-2</v>
      </c>
      <c r="I4058" s="1">
        <v>1.4999999999999999E-2</v>
      </c>
      <c r="J4058" s="1">
        <v>0.33960000000000001</v>
      </c>
    </row>
    <row r="4059" spans="1:10" x14ac:dyDescent="0.2">
      <c r="A4059" t="str">
        <f>"21/04/2010"</f>
        <v>21/04/2010</v>
      </c>
      <c r="B4059">
        <v>1</v>
      </c>
      <c r="C4059">
        <v>27000</v>
      </c>
      <c r="D4059">
        <v>57364</v>
      </c>
      <c r="E4059">
        <v>27000</v>
      </c>
      <c r="F4059">
        <v>27000</v>
      </c>
      <c r="G4059" s="1">
        <v>1.4999999999999999E-2</v>
      </c>
      <c r="H4059" s="1">
        <v>1.4999999999999999E-2</v>
      </c>
      <c r="I4059" s="1">
        <v>1.4999999999999999E-2</v>
      </c>
      <c r="J4059" s="1">
        <v>0.3614</v>
      </c>
    </row>
    <row r="4060" spans="1:10" x14ac:dyDescent="0.2">
      <c r="A4060" t="str">
        <f>"18/04/2010"</f>
        <v>18/04/2010</v>
      </c>
      <c r="B4060">
        <v>3</v>
      </c>
      <c r="C4060">
        <v>28000</v>
      </c>
      <c r="D4060">
        <v>57245</v>
      </c>
      <c r="E4060">
        <v>28000</v>
      </c>
      <c r="F4060">
        <v>28000</v>
      </c>
      <c r="G4060" s="1">
        <v>1.4999999999999999E-2</v>
      </c>
      <c r="H4060" s="1">
        <v>1.4999999999999999E-2</v>
      </c>
      <c r="I4060" s="1">
        <v>1.4999999999999999E-2</v>
      </c>
      <c r="J4060" s="1">
        <v>0.39379999999999998</v>
      </c>
    </row>
    <row r="4061" spans="1:10" x14ac:dyDescent="0.2">
      <c r="A4061" t="str">
        <f>"15/04/2010"</f>
        <v>15/04/2010</v>
      </c>
      <c r="B4061">
        <v>3</v>
      </c>
      <c r="C4061">
        <v>28000</v>
      </c>
      <c r="D4061">
        <v>48000</v>
      </c>
      <c r="E4061">
        <v>28000</v>
      </c>
      <c r="F4061">
        <v>28000</v>
      </c>
      <c r="G4061" s="1">
        <v>1.4999999999999999E-2</v>
      </c>
      <c r="H4061" s="1">
        <v>1.4999999999999999E-2</v>
      </c>
      <c r="I4061" s="1">
        <v>1.4999999999999999E-2</v>
      </c>
      <c r="J4061" s="1">
        <v>0.47889999999999999</v>
      </c>
    </row>
    <row r="4062" spans="1:10" x14ac:dyDescent="0.2">
      <c r="A4062" t="str">
        <f>"15/04/2010"</f>
        <v>15/04/2010</v>
      </c>
      <c r="B4062">
        <v>1</v>
      </c>
      <c r="C4062">
        <v>5000</v>
      </c>
      <c r="D4062">
        <v>11500</v>
      </c>
      <c r="E4062">
        <v>5000</v>
      </c>
      <c r="F4062">
        <v>5000</v>
      </c>
      <c r="G4062" s="1">
        <v>1.4999999999999999E-2</v>
      </c>
      <c r="H4062" s="1">
        <v>1.4999999999999999E-2</v>
      </c>
      <c r="I4062" s="1">
        <v>1.4999999999999999E-2</v>
      </c>
      <c r="J4062" s="1">
        <v>0.35639999999999999</v>
      </c>
    </row>
    <row r="4063" spans="1:10" x14ac:dyDescent="0.2">
      <c r="A4063" t="str">
        <f>"14/04/2010"</f>
        <v>14/04/2010</v>
      </c>
      <c r="B4063">
        <v>1</v>
      </c>
      <c r="C4063">
        <v>36000</v>
      </c>
      <c r="D4063">
        <v>58702</v>
      </c>
      <c r="E4063">
        <v>36000</v>
      </c>
      <c r="F4063">
        <v>36000</v>
      </c>
      <c r="G4063" s="1">
        <v>1.4999999999999999E-2</v>
      </c>
      <c r="H4063" s="1">
        <v>1.4999999999999999E-2</v>
      </c>
      <c r="I4063" s="1">
        <v>1.4999999999999999E-2</v>
      </c>
      <c r="J4063" s="1">
        <v>0.52610000000000001</v>
      </c>
    </row>
    <row r="4064" spans="1:10" x14ac:dyDescent="0.2">
      <c r="A4064" t="str">
        <f>"13/04/2010"</f>
        <v>13/04/2010</v>
      </c>
      <c r="B4064">
        <v>1</v>
      </c>
      <c r="C4064">
        <v>35000</v>
      </c>
      <c r="D4064">
        <v>59125</v>
      </c>
      <c r="E4064">
        <v>35000</v>
      </c>
      <c r="F4064">
        <v>35000</v>
      </c>
      <c r="G4064" s="1">
        <v>1.4999999999999999E-2</v>
      </c>
      <c r="H4064" s="1">
        <v>1.4999999999999999E-2</v>
      </c>
      <c r="I4064" s="1">
        <v>1.4999999999999999E-2</v>
      </c>
      <c r="J4064" s="1">
        <v>0.50149999999999995</v>
      </c>
    </row>
    <row r="4065" spans="1:10" x14ac:dyDescent="0.2">
      <c r="A4065" t="str">
        <f>"12/04/2010"</f>
        <v>12/04/2010</v>
      </c>
      <c r="B4065">
        <v>1</v>
      </c>
      <c r="C4065">
        <v>35000</v>
      </c>
      <c r="D4065">
        <v>55782</v>
      </c>
      <c r="E4065">
        <v>35000</v>
      </c>
      <c r="F4065">
        <v>35000</v>
      </c>
      <c r="G4065" s="1">
        <v>1.4999999999999999E-2</v>
      </c>
      <c r="H4065" s="1">
        <v>1.4999999999999999E-2</v>
      </c>
      <c r="I4065" s="1">
        <v>1.4999999999999999E-2</v>
      </c>
      <c r="J4065" s="1">
        <v>0.53400000000000003</v>
      </c>
    </row>
    <row r="4066" spans="1:10" x14ac:dyDescent="0.2">
      <c r="A4066" t="str">
        <f>"11/04/2010"</f>
        <v>11/04/2010</v>
      </c>
      <c r="B4066">
        <v>1</v>
      </c>
      <c r="C4066">
        <v>34000</v>
      </c>
      <c r="D4066">
        <v>52697</v>
      </c>
      <c r="E4066">
        <v>34000</v>
      </c>
      <c r="F4066">
        <v>34000</v>
      </c>
      <c r="G4066" s="1">
        <v>1.4999999999999999E-2</v>
      </c>
      <c r="H4066" s="1">
        <v>1.4999999999999999E-2</v>
      </c>
      <c r="I4066" s="1">
        <v>1.4999999999999999E-2</v>
      </c>
      <c r="J4066" s="1">
        <v>0.55900000000000005</v>
      </c>
    </row>
    <row r="4067" spans="1:10" x14ac:dyDescent="0.2">
      <c r="A4067" t="str">
        <f>"08/04/2010"</f>
        <v>08/04/2010</v>
      </c>
      <c r="B4067">
        <v>3</v>
      </c>
      <c r="C4067">
        <v>34000</v>
      </c>
      <c r="D4067">
        <v>51150</v>
      </c>
      <c r="E4067">
        <v>34000</v>
      </c>
      <c r="F4067">
        <v>34000</v>
      </c>
      <c r="G4067" s="1">
        <v>1.4999999999999999E-2</v>
      </c>
      <c r="H4067" s="1">
        <v>1.4999999999999999E-2</v>
      </c>
      <c r="I4067" s="1">
        <v>1.4999999999999999E-2</v>
      </c>
      <c r="J4067" s="1">
        <v>0.59730000000000005</v>
      </c>
    </row>
    <row r="4068" spans="1:10" x14ac:dyDescent="0.2">
      <c r="A4068" t="str">
        <f>"07/04/2010"</f>
        <v>07/04/2010</v>
      </c>
      <c r="B4068">
        <v>1</v>
      </c>
      <c r="C4068">
        <v>32500</v>
      </c>
      <c r="D4068">
        <v>46356</v>
      </c>
      <c r="E4068">
        <v>32500</v>
      </c>
      <c r="F4068">
        <v>32500</v>
      </c>
      <c r="G4068" s="1">
        <v>1.4999999999999999E-2</v>
      </c>
      <c r="H4068" s="1">
        <v>1.4999999999999999E-2</v>
      </c>
      <c r="I4068" s="1">
        <v>1.4999999999999999E-2</v>
      </c>
      <c r="J4068" s="1">
        <v>0.62450000000000006</v>
      </c>
    </row>
    <row r="4069" spans="1:10" x14ac:dyDescent="0.2">
      <c r="A4069" t="str">
        <f>"06/04/2010"</f>
        <v>06/04/2010</v>
      </c>
      <c r="B4069">
        <v>1</v>
      </c>
      <c r="C4069">
        <v>40000</v>
      </c>
      <c r="D4069">
        <v>59905</v>
      </c>
      <c r="E4069">
        <v>40000</v>
      </c>
      <c r="F4069">
        <v>40000</v>
      </c>
      <c r="G4069" s="1">
        <v>1.4999999999999999E-2</v>
      </c>
      <c r="H4069" s="1">
        <v>1.4999999999999999E-2</v>
      </c>
      <c r="I4069" s="1">
        <v>1.4999999999999999E-2</v>
      </c>
      <c r="J4069" s="1">
        <v>0.58050000000000002</v>
      </c>
    </row>
    <row r="4070" spans="1:10" x14ac:dyDescent="0.2">
      <c r="A4070" t="str">
        <f>"01/04/2010"</f>
        <v>01/04/2010</v>
      </c>
      <c r="B4070">
        <v>5</v>
      </c>
      <c r="C4070">
        <v>38500</v>
      </c>
      <c r="D4070">
        <v>58180</v>
      </c>
      <c r="E4070">
        <v>38500</v>
      </c>
      <c r="F4070">
        <v>38500</v>
      </c>
      <c r="G4070" s="1">
        <v>1.4999999999999999E-2</v>
      </c>
      <c r="H4070" s="1">
        <v>1.4999999999999999E-2</v>
      </c>
      <c r="I4070" s="1">
        <v>1.4999999999999999E-2</v>
      </c>
      <c r="J4070" s="1">
        <v>0.58360000000000001</v>
      </c>
    </row>
    <row r="4071" spans="1:10" x14ac:dyDescent="0.2">
      <c r="A4071" t="str">
        <f>"31/03/2010"</f>
        <v>31/03/2010</v>
      </c>
      <c r="B4071">
        <v>1</v>
      </c>
      <c r="C4071">
        <v>33000</v>
      </c>
      <c r="D4071">
        <v>30833</v>
      </c>
      <c r="E4071">
        <v>30833</v>
      </c>
      <c r="F4071">
        <v>30833</v>
      </c>
      <c r="G4071" s="1">
        <v>1.2500000000000001E-2</v>
      </c>
      <c r="H4071" s="1">
        <v>1.24E-2</v>
      </c>
      <c r="I4071" s="1">
        <v>1.24E-2</v>
      </c>
      <c r="J4071" s="1">
        <v>1</v>
      </c>
    </row>
    <row r="4072" spans="1:10" x14ac:dyDescent="0.2">
      <c r="A4072" t="str">
        <f>"28/03/2010"</f>
        <v>28/03/2010</v>
      </c>
      <c r="B4072">
        <v>3</v>
      </c>
      <c r="C4072">
        <v>29500</v>
      </c>
      <c r="D4072">
        <v>33345</v>
      </c>
      <c r="E4072">
        <v>29500</v>
      </c>
      <c r="F4072">
        <v>29500</v>
      </c>
      <c r="G4072" s="1">
        <v>1.24E-2</v>
      </c>
      <c r="H4072" s="1">
        <v>1.23E-2</v>
      </c>
      <c r="I4072" s="1">
        <v>1.23E-2</v>
      </c>
      <c r="J4072" s="1">
        <v>0.77280000000000004</v>
      </c>
    </row>
    <row r="4073" spans="1:10" x14ac:dyDescent="0.2">
      <c r="A4073" t="str">
        <f>"25/03/2010"</f>
        <v>25/03/2010</v>
      </c>
      <c r="B4073">
        <v>3</v>
      </c>
      <c r="C4073">
        <v>26000</v>
      </c>
      <c r="D4073">
        <v>55110</v>
      </c>
      <c r="E4073">
        <v>26000</v>
      </c>
      <c r="F4073">
        <v>26000</v>
      </c>
      <c r="G4073" s="1">
        <v>1.24E-2</v>
      </c>
      <c r="H4073" s="1">
        <v>1.24E-2</v>
      </c>
      <c r="I4073" s="1">
        <v>1.24E-2</v>
      </c>
      <c r="J4073" s="1">
        <v>0.97589999999999999</v>
      </c>
    </row>
    <row r="4074" spans="1:10" x14ac:dyDescent="0.2">
      <c r="A4074" t="str">
        <f>"24/03/2010"</f>
        <v>24/03/2010</v>
      </c>
      <c r="B4074">
        <v>1</v>
      </c>
      <c r="C4074">
        <v>23000</v>
      </c>
      <c r="D4074">
        <v>70369</v>
      </c>
      <c r="E4074">
        <v>23000</v>
      </c>
      <c r="F4074">
        <v>23000</v>
      </c>
      <c r="G4074" s="1">
        <v>1.2500000000000001E-2</v>
      </c>
      <c r="H4074" s="1">
        <v>1.24E-2</v>
      </c>
      <c r="I4074" s="1">
        <v>1.24E-2</v>
      </c>
      <c r="J4074" s="1">
        <v>2.6100000000000002E-2</v>
      </c>
    </row>
    <row r="4075" spans="1:10" x14ac:dyDescent="0.2">
      <c r="A4075" t="str">
        <f>"23/03/2010"</f>
        <v>23/03/2010</v>
      </c>
      <c r="B4075">
        <v>1</v>
      </c>
      <c r="C4075">
        <v>23500</v>
      </c>
      <c r="D4075">
        <v>73077</v>
      </c>
      <c r="E4075">
        <v>23500</v>
      </c>
      <c r="F4075">
        <v>23500</v>
      </c>
      <c r="G4075" s="1">
        <v>1.2500000000000001E-2</v>
      </c>
      <c r="H4075" s="1">
        <v>1.24E-2</v>
      </c>
      <c r="I4075" s="1">
        <v>1.24E-2</v>
      </c>
      <c r="J4075" s="1">
        <v>0.1525</v>
      </c>
    </row>
    <row r="4076" spans="1:10" x14ac:dyDescent="0.2">
      <c r="A4076" t="str">
        <f>"22/03/2010"</f>
        <v>22/03/2010</v>
      </c>
      <c r="B4076">
        <v>1</v>
      </c>
      <c r="C4076">
        <v>25000</v>
      </c>
      <c r="D4076">
        <v>72613</v>
      </c>
      <c r="E4076">
        <v>25000</v>
      </c>
      <c r="F4076">
        <v>25000</v>
      </c>
      <c r="G4076" s="1">
        <v>1.2500000000000001E-2</v>
      </c>
      <c r="H4076" s="1">
        <v>1.24E-2</v>
      </c>
      <c r="I4076" s="1">
        <v>1.24E-2</v>
      </c>
      <c r="J4076" s="1">
        <v>0.1971</v>
      </c>
    </row>
    <row r="4077" spans="1:10" x14ac:dyDescent="0.2">
      <c r="A4077" t="str">
        <f>"21/03/2010"</f>
        <v>21/03/2010</v>
      </c>
      <c r="B4077">
        <v>1</v>
      </c>
      <c r="C4077">
        <v>23500</v>
      </c>
      <c r="D4077">
        <v>69329</v>
      </c>
      <c r="E4077">
        <v>23500</v>
      </c>
      <c r="F4077">
        <v>23500</v>
      </c>
      <c r="G4077" s="1">
        <v>1.2500000000000001E-2</v>
      </c>
      <c r="H4077" s="1">
        <v>1.24E-2</v>
      </c>
      <c r="I4077" s="1">
        <v>1.24E-2</v>
      </c>
      <c r="J4077" s="1">
        <v>0.19239999999999999</v>
      </c>
    </row>
    <row r="4078" spans="1:10" x14ac:dyDescent="0.2">
      <c r="A4078" t="str">
        <f>"18/03/2010"</f>
        <v>18/03/2010</v>
      </c>
      <c r="B4078">
        <v>3</v>
      </c>
      <c r="C4078">
        <v>23500</v>
      </c>
      <c r="D4078">
        <v>67469</v>
      </c>
      <c r="E4078">
        <v>23500</v>
      </c>
      <c r="F4078">
        <v>23500</v>
      </c>
      <c r="G4078" s="1">
        <v>1.2500000000000001E-2</v>
      </c>
      <c r="H4078" s="1">
        <v>1.2500000000000001E-2</v>
      </c>
      <c r="I4078" s="1">
        <v>1.2500000000000001E-2</v>
      </c>
      <c r="J4078" s="1">
        <v>0.21970000000000001</v>
      </c>
    </row>
    <row r="4079" spans="1:10" x14ac:dyDescent="0.2">
      <c r="A4079" t="str">
        <f>"17/03/2010"</f>
        <v>17/03/2010</v>
      </c>
      <c r="B4079">
        <v>1</v>
      </c>
      <c r="C4079">
        <v>23500</v>
      </c>
      <c r="D4079">
        <v>41987</v>
      </c>
      <c r="E4079">
        <v>23500</v>
      </c>
      <c r="F4079">
        <v>23500</v>
      </c>
      <c r="G4079" s="1">
        <v>1.2500000000000001E-2</v>
      </c>
      <c r="H4079" s="1">
        <v>1.24E-2</v>
      </c>
      <c r="I4079" s="1">
        <v>1.24E-2</v>
      </c>
      <c r="J4079" s="1">
        <v>0.25430000000000003</v>
      </c>
    </row>
    <row r="4080" spans="1:10" x14ac:dyDescent="0.2">
      <c r="A4080" t="str">
        <f>"16/03/2010"</f>
        <v>16/03/2010</v>
      </c>
      <c r="B4080">
        <v>1</v>
      </c>
      <c r="C4080">
        <v>22000</v>
      </c>
      <c r="D4080">
        <v>37398</v>
      </c>
      <c r="E4080">
        <v>22000</v>
      </c>
      <c r="F4080">
        <v>22000</v>
      </c>
      <c r="G4080" s="1">
        <v>1.2500000000000001E-2</v>
      </c>
      <c r="H4080" s="1">
        <v>1.24E-2</v>
      </c>
      <c r="I4080" s="1">
        <v>1.24E-2</v>
      </c>
      <c r="J4080" s="1">
        <v>0.33339999999999997</v>
      </c>
    </row>
    <row r="4081" spans="1:10" x14ac:dyDescent="0.2">
      <c r="A4081" t="str">
        <f>"15/03/2010"</f>
        <v>15/03/2010</v>
      </c>
      <c r="B4081">
        <v>1</v>
      </c>
      <c r="C4081">
        <v>32000</v>
      </c>
      <c r="D4081">
        <v>58883</v>
      </c>
      <c r="E4081">
        <v>32000</v>
      </c>
      <c r="F4081">
        <v>32000</v>
      </c>
      <c r="G4081" s="1">
        <v>1.2500000000000001E-2</v>
      </c>
      <c r="H4081" s="1">
        <v>1.2500000000000001E-2</v>
      </c>
      <c r="I4081" s="1">
        <v>1.2500000000000001E-2</v>
      </c>
      <c r="J4081" s="1">
        <v>0.38059999999999999</v>
      </c>
    </row>
    <row r="4082" spans="1:10" x14ac:dyDescent="0.2">
      <c r="A4082" t="str">
        <f>"14/03/2010"</f>
        <v>14/03/2010</v>
      </c>
      <c r="B4082">
        <v>1</v>
      </c>
      <c r="C4082">
        <v>34500</v>
      </c>
      <c r="D4082">
        <v>61840</v>
      </c>
      <c r="E4082">
        <v>34500</v>
      </c>
      <c r="F4082">
        <v>34500</v>
      </c>
      <c r="G4082" s="1">
        <v>1.2500000000000001E-2</v>
      </c>
      <c r="H4082" s="1">
        <v>1.2500000000000001E-2</v>
      </c>
      <c r="I4082" s="1">
        <v>1.2500000000000001E-2</v>
      </c>
      <c r="J4082" s="1">
        <v>0.41949999999999998</v>
      </c>
    </row>
    <row r="4083" spans="1:10" x14ac:dyDescent="0.2">
      <c r="A4083" t="str">
        <f>"11/03/2010"</f>
        <v>11/03/2010</v>
      </c>
      <c r="B4083">
        <v>3</v>
      </c>
      <c r="C4083">
        <v>34500</v>
      </c>
      <c r="D4083">
        <v>61108</v>
      </c>
      <c r="E4083">
        <v>34500</v>
      </c>
      <c r="F4083">
        <v>34500</v>
      </c>
      <c r="G4083" s="1">
        <v>1.2500000000000001E-2</v>
      </c>
      <c r="H4083" s="1">
        <v>1.2500000000000001E-2</v>
      </c>
      <c r="I4083" s="1">
        <v>1.2500000000000001E-2</v>
      </c>
      <c r="J4083" s="1">
        <v>0.43269999999999997</v>
      </c>
    </row>
    <row r="4084" spans="1:10" x14ac:dyDescent="0.2">
      <c r="A4084" t="str">
        <f>"10/03/2010"</f>
        <v>10/03/2010</v>
      </c>
      <c r="B4084">
        <v>1</v>
      </c>
      <c r="C4084">
        <v>34500</v>
      </c>
      <c r="D4084">
        <v>67668</v>
      </c>
      <c r="E4084">
        <v>34500</v>
      </c>
      <c r="F4084">
        <v>34500</v>
      </c>
      <c r="G4084" s="1">
        <v>1.2500000000000001E-2</v>
      </c>
      <c r="H4084" s="1">
        <v>1.2500000000000001E-2</v>
      </c>
      <c r="I4084" s="1">
        <v>1.2500000000000001E-2</v>
      </c>
      <c r="J4084" s="1">
        <v>0.38</v>
      </c>
    </row>
    <row r="4085" spans="1:10" x14ac:dyDescent="0.2">
      <c r="A4085" t="str">
        <f>"09/03/2010"</f>
        <v>09/03/2010</v>
      </c>
      <c r="B4085">
        <v>1</v>
      </c>
      <c r="C4085">
        <v>34500</v>
      </c>
      <c r="D4085">
        <v>63808</v>
      </c>
      <c r="E4085">
        <v>34500</v>
      </c>
      <c r="F4085">
        <v>34500</v>
      </c>
      <c r="G4085" s="1">
        <v>1.2500000000000001E-2</v>
      </c>
      <c r="H4085" s="1">
        <v>1.2500000000000001E-2</v>
      </c>
      <c r="I4085" s="1">
        <v>1.2500000000000001E-2</v>
      </c>
      <c r="J4085" s="1">
        <v>0.40550000000000003</v>
      </c>
    </row>
    <row r="4086" spans="1:10" x14ac:dyDescent="0.2">
      <c r="A4086" t="str">
        <f>"08/03/2010"</f>
        <v>08/03/2010</v>
      </c>
      <c r="B4086">
        <v>1</v>
      </c>
      <c r="C4086">
        <v>35000</v>
      </c>
      <c r="D4086">
        <v>63022</v>
      </c>
      <c r="E4086">
        <v>35000</v>
      </c>
      <c r="F4086">
        <v>35000</v>
      </c>
      <c r="G4086" s="1">
        <v>1.2500000000000001E-2</v>
      </c>
      <c r="H4086" s="1">
        <v>1.2500000000000001E-2</v>
      </c>
      <c r="I4086" s="1">
        <v>1.2500000000000001E-2</v>
      </c>
      <c r="J4086" s="1">
        <v>0.42459999999999998</v>
      </c>
    </row>
    <row r="4087" spans="1:10" x14ac:dyDescent="0.2">
      <c r="A4087" t="str">
        <f>"07/03/2010"</f>
        <v>07/03/2010</v>
      </c>
      <c r="B4087">
        <v>1</v>
      </c>
      <c r="C4087">
        <v>35000</v>
      </c>
      <c r="D4087">
        <v>59739</v>
      </c>
      <c r="E4087">
        <v>35000</v>
      </c>
      <c r="F4087">
        <v>35000</v>
      </c>
      <c r="G4087" s="1">
        <v>1.2500000000000001E-2</v>
      </c>
      <c r="H4087" s="1">
        <v>1.2500000000000001E-2</v>
      </c>
      <c r="I4087" s="1">
        <v>1.2500000000000001E-2</v>
      </c>
      <c r="J4087" s="1">
        <v>0.44130000000000003</v>
      </c>
    </row>
    <row r="4088" spans="1:10" x14ac:dyDescent="0.2">
      <c r="A4088" t="str">
        <f>"04/03/2010"</f>
        <v>04/03/2010</v>
      </c>
      <c r="B4088">
        <v>3</v>
      </c>
      <c r="C4088">
        <v>35000</v>
      </c>
      <c r="D4088">
        <v>53546</v>
      </c>
      <c r="E4088">
        <v>35000</v>
      </c>
      <c r="F4088">
        <v>35000</v>
      </c>
      <c r="G4088" s="1">
        <v>1.2500000000000001E-2</v>
      </c>
      <c r="H4088" s="1">
        <v>1.2500000000000001E-2</v>
      </c>
      <c r="I4088" s="1">
        <v>1.2500000000000001E-2</v>
      </c>
      <c r="J4088" s="1">
        <v>0.61599999999999999</v>
      </c>
    </row>
    <row r="4089" spans="1:10" x14ac:dyDescent="0.2">
      <c r="A4089" t="str">
        <f>"03/03/2010"</f>
        <v>03/03/2010</v>
      </c>
      <c r="B4089">
        <v>1</v>
      </c>
      <c r="C4089">
        <v>34500</v>
      </c>
      <c r="D4089">
        <v>65715</v>
      </c>
      <c r="E4089">
        <v>34500</v>
      </c>
      <c r="F4089">
        <v>34500</v>
      </c>
      <c r="G4089" s="1">
        <v>1.2500000000000001E-2</v>
      </c>
      <c r="H4089" s="1">
        <v>1.2500000000000001E-2</v>
      </c>
      <c r="I4089" s="1">
        <v>1.2500000000000001E-2</v>
      </c>
      <c r="J4089" s="1">
        <v>0.36230000000000001</v>
      </c>
    </row>
    <row r="4090" spans="1:10" x14ac:dyDescent="0.2">
      <c r="A4090" t="str">
        <f>"02/03/2010"</f>
        <v>02/03/2010</v>
      </c>
      <c r="B4090">
        <v>1</v>
      </c>
      <c r="C4090">
        <v>38000</v>
      </c>
      <c r="D4090">
        <v>67424</v>
      </c>
      <c r="E4090">
        <v>38000</v>
      </c>
      <c r="F4090">
        <v>38000</v>
      </c>
      <c r="G4090" s="1">
        <v>1.2500000000000001E-2</v>
      </c>
      <c r="H4090" s="1">
        <v>1.2500000000000001E-2</v>
      </c>
      <c r="I4090" s="1">
        <v>1.2500000000000001E-2</v>
      </c>
      <c r="J4090" s="1">
        <v>0.40970000000000001</v>
      </c>
    </row>
    <row r="4091" spans="1:10" x14ac:dyDescent="0.2">
      <c r="A4091" t="str">
        <f>"01/03/2010"</f>
        <v>01/03/2010</v>
      </c>
      <c r="B4091">
        <v>1</v>
      </c>
      <c r="C4091">
        <v>38500</v>
      </c>
      <c r="D4091">
        <v>66574</v>
      </c>
      <c r="E4091">
        <v>38500</v>
      </c>
      <c r="F4091">
        <v>38500</v>
      </c>
      <c r="G4091" s="1">
        <v>1.2500000000000001E-2</v>
      </c>
      <c r="H4091" s="1">
        <v>1.2500000000000001E-2</v>
      </c>
      <c r="I4091" s="1">
        <v>1.2500000000000001E-2</v>
      </c>
      <c r="J4091" s="1">
        <v>0.43169999999999997</v>
      </c>
    </row>
    <row r="4092" spans="1:10" x14ac:dyDescent="0.2">
      <c r="A4092" t="str">
        <f>"26/02/2010"</f>
        <v>26/02/2010</v>
      </c>
      <c r="B4092">
        <v>3</v>
      </c>
      <c r="C4092">
        <v>5000</v>
      </c>
      <c r="D4092">
        <v>5160</v>
      </c>
      <c r="E4092">
        <v>5000</v>
      </c>
      <c r="F4092">
        <v>5000</v>
      </c>
      <c r="G4092" s="1">
        <v>1.2500000000000001E-2</v>
      </c>
      <c r="H4092" s="1">
        <v>1.2500000000000001E-2</v>
      </c>
      <c r="I4092" s="1">
        <v>1.2500000000000001E-2</v>
      </c>
      <c r="J4092" s="1">
        <v>0.96799999999999997</v>
      </c>
    </row>
    <row r="4093" spans="1:10" x14ac:dyDescent="0.2">
      <c r="A4093" t="str">
        <f>"25/02/2010"</f>
        <v>25/02/2010</v>
      </c>
      <c r="B4093">
        <v>4</v>
      </c>
      <c r="C4093">
        <v>29000</v>
      </c>
      <c r="D4093">
        <v>41733</v>
      </c>
      <c r="E4093">
        <v>29000</v>
      </c>
      <c r="F4093">
        <v>29000</v>
      </c>
      <c r="G4093" s="1">
        <v>1.2500000000000001E-2</v>
      </c>
      <c r="H4093" s="1">
        <v>1.24E-2</v>
      </c>
      <c r="I4093" s="1">
        <v>1.24E-2</v>
      </c>
      <c r="J4093" s="1">
        <v>0.48759999999999998</v>
      </c>
    </row>
    <row r="4094" spans="1:10" x14ac:dyDescent="0.2">
      <c r="A4094" t="str">
        <f>"24/02/2010"</f>
        <v>24/02/2010</v>
      </c>
      <c r="B4094">
        <v>1</v>
      </c>
      <c r="C4094">
        <v>28000</v>
      </c>
      <c r="D4094">
        <v>27107</v>
      </c>
      <c r="E4094">
        <v>27107</v>
      </c>
      <c r="F4094">
        <v>27107</v>
      </c>
      <c r="G4094" s="1">
        <v>1.2500000000000001E-2</v>
      </c>
      <c r="H4094" s="1">
        <v>1.24E-2</v>
      </c>
      <c r="I4094" s="1">
        <v>1.24E-2</v>
      </c>
      <c r="J4094" s="1">
        <v>1</v>
      </c>
    </row>
    <row r="4095" spans="1:10" x14ac:dyDescent="0.2">
      <c r="A4095" t="str">
        <f>"23/02/2010"</f>
        <v>23/02/2010</v>
      </c>
      <c r="B4095">
        <v>1</v>
      </c>
      <c r="C4095">
        <v>28000</v>
      </c>
      <c r="D4095">
        <v>78211</v>
      </c>
      <c r="E4095">
        <v>28000</v>
      </c>
      <c r="F4095">
        <v>28000</v>
      </c>
      <c r="G4095" s="1">
        <v>1.2500000000000001E-2</v>
      </c>
      <c r="H4095" s="1">
        <v>1.24E-2</v>
      </c>
      <c r="I4095" s="1">
        <v>1.24E-2</v>
      </c>
      <c r="J4095" s="1">
        <v>5.4399999999999997E-2</v>
      </c>
    </row>
    <row r="4096" spans="1:10" x14ac:dyDescent="0.2">
      <c r="A4096" t="str">
        <f>"22/02/2010"</f>
        <v>22/02/2010</v>
      </c>
      <c r="B4096">
        <v>1</v>
      </c>
      <c r="C4096">
        <v>27500</v>
      </c>
      <c r="D4096">
        <v>88011</v>
      </c>
      <c r="E4096">
        <v>27500</v>
      </c>
      <c r="F4096">
        <v>27500</v>
      </c>
      <c r="G4096" s="1">
        <v>1.2500000000000001E-2</v>
      </c>
      <c r="H4096" s="1">
        <v>1.24E-2</v>
      </c>
      <c r="I4096" s="1">
        <v>1.24E-2</v>
      </c>
      <c r="J4096" s="1">
        <v>0.13059999999999999</v>
      </c>
    </row>
    <row r="4097" spans="1:10" x14ac:dyDescent="0.2">
      <c r="A4097" t="str">
        <f>"21/02/2010"</f>
        <v>21/02/2010</v>
      </c>
      <c r="B4097">
        <v>1</v>
      </c>
      <c r="C4097">
        <v>27500</v>
      </c>
      <c r="D4097">
        <v>73611</v>
      </c>
      <c r="E4097">
        <v>27500</v>
      </c>
      <c r="F4097">
        <v>27500</v>
      </c>
      <c r="G4097" s="1">
        <v>1.2500000000000001E-2</v>
      </c>
      <c r="H4097" s="1">
        <v>1.24E-2</v>
      </c>
      <c r="I4097" s="1">
        <v>1.24E-2</v>
      </c>
      <c r="J4097" s="1">
        <v>0.17510000000000001</v>
      </c>
    </row>
    <row r="4098" spans="1:10" x14ac:dyDescent="0.2">
      <c r="A4098" t="str">
        <f>"18/02/2010"</f>
        <v>18/02/2010</v>
      </c>
      <c r="B4098">
        <v>3</v>
      </c>
      <c r="C4098">
        <v>27500</v>
      </c>
      <c r="D4098">
        <v>69091</v>
      </c>
      <c r="E4098">
        <v>27500</v>
      </c>
      <c r="F4098">
        <v>27500</v>
      </c>
      <c r="G4098" s="1">
        <v>1.2500000000000001E-2</v>
      </c>
      <c r="H4098" s="1">
        <v>1.24E-2</v>
      </c>
      <c r="I4098" s="1">
        <v>1.24E-2</v>
      </c>
      <c r="J4098" s="1">
        <v>0.20930000000000001</v>
      </c>
    </row>
    <row r="4099" spans="1:10" x14ac:dyDescent="0.2">
      <c r="A4099" t="str">
        <f>"17/02/2010"</f>
        <v>17/02/2010</v>
      </c>
      <c r="B4099">
        <v>1</v>
      </c>
      <c r="C4099">
        <v>28000</v>
      </c>
      <c r="D4099">
        <v>78449</v>
      </c>
      <c r="E4099">
        <v>28000</v>
      </c>
      <c r="F4099">
        <v>28000</v>
      </c>
      <c r="G4099" s="1">
        <v>1.2500000000000001E-2</v>
      </c>
      <c r="H4099" s="1">
        <v>1.24E-2</v>
      </c>
      <c r="I4099" s="1">
        <v>1.24E-2</v>
      </c>
      <c r="J4099" s="1">
        <v>0.20300000000000001</v>
      </c>
    </row>
    <row r="4100" spans="1:10" x14ac:dyDescent="0.2">
      <c r="A4100" t="str">
        <f>"16/02/2010"</f>
        <v>16/02/2010</v>
      </c>
      <c r="B4100">
        <v>1</v>
      </c>
      <c r="C4100">
        <v>29000</v>
      </c>
      <c r="D4100">
        <v>72038</v>
      </c>
      <c r="E4100">
        <v>29000</v>
      </c>
      <c r="F4100">
        <v>29000</v>
      </c>
      <c r="G4100" s="1">
        <v>1.2500000000000001E-2</v>
      </c>
      <c r="H4100" s="1">
        <v>1.24E-2</v>
      </c>
      <c r="I4100" s="1">
        <v>1.24E-2</v>
      </c>
      <c r="J4100" s="1">
        <v>0.22869999999999999</v>
      </c>
    </row>
    <row r="4101" spans="1:10" x14ac:dyDescent="0.2">
      <c r="A4101" t="str">
        <f>"15/02/2010"</f>
        <v>15/02/2010</v>
      </c>
      <c r="B4101">
        <v>1</v>
      </c>
      <c r="C4101">
        <v>38000</v>
      </c>
      <c r="D4101">
        <v>91246</v>
      </c>
      <c r="E4101">
        <v>38000</v>
      </c>
      <c r="F4101">
        <v>38000</v>
      </c>
      <c r="G4101" s="1">
        <v>1.2500000000000001E-2</v>
      </c>
      <c r="H4101" s="1">
        <v>1.24E-2</v>
      </c>
      <c r="I4101" s="1">
        <v>1.24E-2</v>
      </c>
      <c r="J4101" s="1">
        <v>0.25790000000000002</v>
      </c>
    </row>
    <row r="4102" spans="1:10" x14ac:dyDescent="0.2">
      <c r="A4102" t="str">
        <f>"14/02/2010"</f>
        <v>14/02/2010</v>
      </c>
      <c r="B4102">
        <v>1</v>
      </c>
      <c r="C4102">
        <v>37500</v>
      </c>
      <c r="D4102">
        <v>76438</v>
      </c>
      <c r="E4102">
        <v>37500</v>
      </c>
      <c r="F4102">
        <v>37500</v>
      </c>
      <c r="G4102" s="1">
        <v>1.2500000000000001E-2</v>
      </c>
      <c r="H4102" s="1">
        <v>1.2500000000000001E-2</v>
      </c>
      <c r="I4102" s="1">
        <v>1.2500000000000001E-2</v>
      </c>
      <c r="J4102" s="1">
        <v>0.32629999999999998</v>
      </c>
    </row>
    <row r="4103" spans="1:10" x14ac:dyDescent="0.2">
      <c r="A4103" t="str">
        <f>"11/02/2010"</f>
        <v>11/02/2010</v>
      </c>
      <c r="B4103">
        <v>3</v>
      </c>
      <c r="C4103">
        <v>41000</v>
      </c>
      <c r="D4103">
        <v>73018</v>
      </c>
      <c r="E4103">
        <v>41000</v>
      </c>
      <c r="F4103">
        <v>41000</v>
      </c>
      <c r="G4103" s="1">
        <v>1.2500000000000001E-2</v>
      </c>
      <c r="H4103" s="1">
        <v>1.2500000000000001E-2</v>
      </c>
      <c r="I4103" s="1">
        <v>1.2500000000000001E-2</v>
      </c>
      <c r="J4103" s="1">
        <v>0.4138</v>
      </c>
    </row>
    <row r="4104" spans="1:10" x14ac:dyDescent="0.2">
      <c r="A4104" t="str">
        <f>"10/02/2010"</f>
        <v>10/02/2010</v>
      </c>
      <c r="B4104">
        <v>1</v>
      </c>
      <c r="C4104">
        <v>41000</v>
      </c>
      <c r="D4104">
        <v>91088</v>
      </c>
      <c r="E4104">
        <v>41000</v>
      </c>
      <c r="F4104">
        <v>41000</v>
      </c>
      <c r="G4104" s="1">
        <v>1.2500000000000001E-2</v>
      </c>
      <c r="H4104" s="1">
        <v>1.2500000000000001E-2</v>
      </c>
      <c r="I4104" s="1">
        <v>1.2500000000000001E-2</v>
      </c>
      <c r="J4104" s="1">
        <v>0.39579999999999999</v>
      </c>
    </row>
    <row r="4105" spans="1:10" x14ac:dyDescent="0.2">
      <c r="A4105" t="str">
        <f>"09/02/2010"</f>
        <v>09/02/2010</v>
      </c>
      <c r="B4105">
        <v>1</v>
      </c>
      <c r="C4105">
        <v>41500</v>
      </c>
      <c r="D4105">
        <v>89001</v>
      </c>
      <c r="E4105">
        <v>41500</v>
      </c>
      <c r="F4105">
        <v>41500</v>
      </c>
      <c r="G4105" s="1">
        <v>1.2500000000000001E-2</v>
      </c>
      <c r="H4105" s="1">
        <v>1.2500000000000001E-2</v>
      </c>
      <c r="I4105" s="1">
        <v>1.2500000000000001E-2</v>
      </c>
      <c r="J4105" s="1">
        <v>0.41070000000000001</v>
      </c>
    </row>
    <row r="4106" spans="1:10" x14ac:dyDescent="0.2">
      <c r="A4106" t="str">
        <f>"08/02/2010"</f>
        <v>08/02/2010</v>
      </c>
      <c r="B4106">
        <v>1</v>
      </c>
      <c r="C4106">
        <v>42000</v>
      </c>
      <c r="D4106">
        <v>86496</v>
      </c>
      <c r="E4106">
        <v>42000</v>
      </c>
      <c r="F4106">
        <v>42000</v>
      </c>
      <c r="G4106" s="1">
        <v>1.2500000000000001E-2</v>
      </c>
      <c r="H4106" s="1">
        <v>1.2500000000000001E-2</v>
      </c>
      <c r="I4106" s="1">
        <v>1.2500000000000001E-2</v>
      </c>
      <c r="J4106" s="1">
        <v>0.43819999999999998</v>
      </c>
    </row>
    <row r="4107" spans="1:10" x14ac:dyDescent="0.2">
      <c r="A4107" t="str">
        <f>"07/02/2010"</f>
        <v>07/02/2010</v>
      </c>
      <c r="B4107">
        <v>1</v>
      </c>
      <c r="C4107">
        <v>41500</v>
      </c>
      <c r="D4107">
        <v>78231</v>
      </c>
      <c r="E4107">
        <v>41500</v>
      </c>
      <c r="F4107">
        <v>41500</v>
      </c>
      <c r="G4107" s="1">
        <v>1.2500000000000001E-2</v>
      </c>
      <c r="H4107" s="1">
        <v>1.2500000000000001E-2</v>
      </c>
      <c r="I4107" s="1">
        <v>1.2500000000000001E-2</v>
      </c>
      <c r="J4107" s="1">
        <v>0.48809999999999998</v>
      </c>
    </row>
    <row r="4108" spans="1:10" x14ac:dyDescent="0.2">
      <c r="A4108" t="str">
        <f>"04/02/2010"</f>
        <v>04/02/2010</v>
      </c>
      <c r="B4108">
        <v>3</v>
      </c>
      <c r="C4108">
        <v>41500</v>
      </c>
      <c r="D4108">
        <v>68260</v>
      </c>
      <c r="E4108">
        <v>41500</v>
      </c>
      <c r="F4108">
        <v>41500</v>
      </c>
      <c r="G4108" s="1">
        <v>1.2500000000000001E-2</v>
      </c>
      <c r="H4108" s="1">
        <v>1.2500000000000001E-2</v>
      </c>
      <c r="I4108" s="1">
        <v>1.2500000000000001E-2</v>
      </c>
      <c r="J4108" s="1">
        <v>0.53820000000000001</v>
      </c>
    </row>
    <row r="4109" spans="1:10" x14ac:dyDescent="0.2">
      <c r="A4109" t="str">
        <f>"03/02/2010"</f>
        <v>03/02/2010</v>
      </c>
      <c r="B4109">
        <v>1</v>
      </c>
      <c r="C4109">
        <v>41000</v>
      </c>
      <c r="D4109">
        <v>69317</v>
      </c>
      <c r="E4109">
        <v>41000</v>
      </c>
      <c r="F4109">
        <v>41000</v>
      </c>
      <c r="G4109" s="1">
        <v>1.2500000000000001E-2</v>
      </c>
      <c r="H4109" s="1">
        <v>1.2500000000000001E-2</v>
      </c>
      <c r="I4109" s="1">
        <v>1.2500000000000001E-2</v>
      </c>
      <c r="J4109" s="1">
        <v>0.52839999999999998</v>
      </c>
    </row>
    <row r="4110" spans="1:10" x14ac:dyDescent="0.2">
      <c r="A4110" t="str">
        <f>"02/02/2010"</f>
        <v>02/02/2010</v>
      </c>
      <c r="B4110">
        <v>1</v>
      </c>
      <c r="C4110">
        <v>44500</v>
      </c>
      <c r="D4110">
        <v>74625</v>
      </c>
      <c r="E4110">
        <v>44500</v>
      </c>
      <c r="F4110">
        <v>44500</v>
      </c>
      <c r="G4110" s="1">
        <v>1.2500000000000001E-2</v>
      </c>
      <c r="H4110" s="1">
        <v>1.2500000000000001E-2</v>
      </c>
      <c r="I4110" s="1">
        <v>1.2500000000000001E-2</v>
      </c>
      <c r="J4110" s="1">
        <v>0.54110000000000003</v>
      </c>
    </row>
    <row r="4111" spans="1:10" x14ac:dyDescent="0.2">
      <c r="A4111" t="str">
        <f>"01/02/2010"</f>
        <v>01/02/2010</v>
      </c>
      <c r="B4111">
        <v>1</v>
      </c>
      <c r="C4111">
        <v>44000</v>
      </c>
      <c r="D4111">
        <v>70160</v>
      </c>
      <c r="E4111">
        <v>44000</v>
      </c>
      <c r="F4111">
        <v>44000</v>
      </c>
      <c r="G4111" s="1">
        <v>1.2500000000000001E-2</v>
      </c>
      <c r="H4111" s="1">
        <v>1.2500000000000001E-2</v>
      </c>
      <c r="I4111" s="1">
        <v>1.2500000000000001E-2</v>
      </c>
      <c r="J4111" s="1">
        <v>0.57440000000000002</v>
      </c>
    </row>
    <row r="4112" spans="1:10" x14ac:dyDescent="0.2">
      <c r="A4112" t="str">
        <f>"31/01/2010"</f>
        <v>31/01/2010</v>
      </c>
      <c r="B4112">
        <v>1</v>
      </c>
      <c r="C4112">
        <v>40000</v>
      </c>
      <c r="D4112">
        <v>57022</v>
      </c>
      <c r="E4112">
        <v>40000</v>
      </c>
      <c r="F4112">
        <v>40000</v>
      </c>
      <c r="G4112" s="1">
        <v>1.2500000000000001E-2</v>
      </c>
      <c r="H4112" s="1">
        <v>1.2500000000000001E-2</v>
      </c>
      <c r="I4112" s="1">
        <v>1.2500000000000001E-2</v>
      </c>
      <c r="J4112" s="1">
        <v>0.64200000000000002</v>
      </c>
    </row>
    <row r="4113" spans="1:10" x14ac:dyDescent="0.2">
      <c r="A4113" t="str">
        <f>"28/01/2010"</f>
        <v>28/01/2010</v>
      </c>
      <c r="B4113">
        <v>3</v>
      </c>
      <c r="C4113">
        <v>33000</v>
      </c>
      <c r="D4113">
        <v>49119</v>
      </c>
      <c r="E4113">
        <v>33000</v>
      </c>
      <c r="F4113">
        <v>33000</v>
      </c>
      <c r="G4113" s="1">
        <v>1.2500000000000001E-2</v>
      </c>
      <c r="H4113" s="1">
        <v>1.2500000000000001E-2</v>
      </c>
      <c r="I4113" s="1">
        <v>1.2500000000000001E-2</v>
      </c>
      <c r="J4113" s="1">
        <v>0.61319999999999997</v>
      </c>
    </row>
    <row r="4114" spans="1:10" x14ac:dyDescent="0.2">
      <c r="A4114" t="str">
        <f>"27/01/2010"</f>
        <v>27/01/2010</v>
      </c>
      <c r="B4114">
        <v>1</v>
      </c>
      <c r="C4114">
        <v>30000</v>
      </c>
      <c r="D4114">
        <v>29453</v>
      </c>
      <c r="E4114">
        <v>29453</v>
      </c>
      <c r="F4114">
        <v>29453</v>
      </c>
      <c r="G4114" s="1">
        <v>1.2500000000000001E-2</v>
      </c>
      <c r="H4114" s="1">
        <v>1.24E-2</v>
      </c>
      <c r="I4114" s="1">
        <v>1.24E-2</v>
      </c>
      <c r="J4114" s="1">
        <v>1</v>
      </c>
    </row>
    <row r="4115" spans="1:10" x14ac:dyDescent="0.2">
      <c r="A4115" t="str">
        <f>"26/01/2010"</f>
        <v>26/01/2010</v>
      </c>
      <c r="B4115">
        <v>1</v>
      </c>
      <c r="C4115">
        <v>29500</v>
      </c>
      <c r="D4115">
        <v>83433</v>
      </c>
      <c r="E4115">
        <v>29500</v>
      </c>
      <c r="F4115">
        <v>29500</v>
      </c>
      <c r="G4115" s="1">
        <v>1.2500000000000001E-2</v>
      </c>
      <c r="H4115" s="1">
        <v>1.24E-2</v>
      </c>
      <c r="I4115" s="1">
        <v>1.24E-2</v>
      </c>
      <c r="J4115" s="1">
        <v>0.18029999999999999</v>
      </c>
    </row>
    <row r="4116" spans="1:10" x14ac:dyDescent="0.2">
      <c r="A4116" t="str">
        <f>"25/01/2010"</f>
        <v>25/01/2010</v>
      </c>
      <c r="B4116">
        <v>1</v>
      </c>
      <c r="C4116">
        <v>29000</v>
      </c>
      <c r="D4116">
        <v>77595</v>
      </c>
      <c r="E4116">
        <v>29000</v>
      </c>
      <c r="F4116">
        <v>29000</v>
      </c>
      <c r="G4116" s="1">
        <v>1.2500000000000001E-2</v>
      </c>
      <c r="H4116" s="1">
        <v>1.24E-2</v>
      </c>
      <c r="I4116" s="1">
        <v>1.24E-2</v>
      </c>
      <c r="J4116" s="1">
        <v>0.17180000000000001</v>
      </c>
    </row>
    <row r="4117" spans="1:10" x14ac:dyDescent="0.2">
      <c r="A4117" t="str">
        <f>"24/01/2010"</f>
        <v>24/01/2010</v>
      </c>
      <c r="B4117">
        <v>1</v>
      </c>
      <c r="C4117">
        <v>27500</v>
      </c>
      <c r="D4117">
        <v>61812</v>
      </c>
      <c r="E4117">
        <v>27500</v>
      </c>
      <c r="F4117">
        <v>27500</v>
      </c>
      <c r="G4117" s="1">
        <v>1.2500000000000001E-2</v>
      </c>
      <c r="H4117" s="1">
        <v>1.24E-2</v>
      </c>
      <c r="I4117" s="1">
        <v>1.24E-2</v>
      </c>
      <c r="J4117" s="1">
        <v>0.2039</v>
      </c>
    </row>
    <row r="4118" spans="1:10" x14ac:dyDescent="0.2">
      <c r="A4118" t="str">
        <f>"21/01/2010"</f>
        <v>21/01/2010</v>
      </c>
      <c r="B4118">
        <v>3</v>
      </c>
      <c r="C4118">
        <v>27000</v>
      </c>
      <c r="D4118">
        <v>51267</v>
      </c>
      <c r="E4118">
        <v>27000</v>
      </c>
      <c r="F4118">
        <v>27000</v>
      </c>
      <c r="G4118" s="1">
        <v>1.2500000000000001E-2</v>
      </c>
      <c r="H4118" s="1">
        <v>1.24E-2</v>
      </c>
      <c r="I4118" s="1">
        <v>1.24E-2</v>
      </c>
      <c r="J4118" s="1">
        <v>0.28260000000000002</v>
      </c>
    </row>
    <row r="4119" spans="1:10" x14ac:dyDescent="0.2">
      <c r="A4119" t="str">
        <f>"20/01/2010"</f>
        <v>20/01/2010</v>
      </c>
      <c r="B4119">
        <v>1</v>
      </c>
      <c r="C4119">
        <v>27500</v>
      </c>
      <c r="D4119">
        <v>60524</v>
      </c>
      <c r="E4119">
        <v>27500</v>
      </c>
      <c r="F4119">
        <v>27500</v>
      </c>
      <c r="G4119" s="1">
        <v>1.2500000000000001E-2</v>
      </c>
      <c r="H4119" s="1">
        <v>1.24E-2</v>
      </c>
      <c r="I4119" s="1">
        <v>1.24E-2</v>
      </c>
      <c r="J4119" s="1">
        <v>0.23910000000000001</v>
      </c>
    </row>
    <row r="4120" spans="1:10" x14ac:dyDescent="0.2">
      <c r="A4120" t="str">
        <f>"19/01/2010"</f>
        <v>19/01/2010</v>
      </c>
      <c r="B4120">
        <v>1</v>
      </c>
      <c r="C4120">
        <v>29500</v>
      </c>
      <c r="D4120">
        <v>63184</v>
      </c>
      <c r="E4120">
        <v>29500</v>
      </c>
      <c r="F4120">
        <v>29500</v>
      </c>
      <c r="G4120" s="1">
        <v>1.2500000000000001E-2</v>
      </c>
      <c r="H4120" s="1">
        <v>1.24E-2</v>
      </c>
      <c r="I4120" s="1">
        <v>1.24E-2</v>
      </c>
      <c r="J4120" s="1">
        <v>0.28029999999999999</v>
      </c>
    </row>
    <row r="4121" spans="1:10" x14ac:dyDescent="0.2">
      <c r="A4121" t="str">
        <f>"18/01/2010"</f>
        <v>18/01/2010</v>
      </c>
      <c r="B4121">
        <v>1</v>
      </c>
      <c r="C4121">
        <v>29500</v>
      </c>
      <c r="D4121">
        <v>57232</v>
      </c>
      <c r="E4121">
        <v>29500</v>
      </c>
      <c r="F4121">
        <v>29500</v>
      </c>
      <c r="G4121" s="1">
        <v>1.2500000000000001E-2</v>
      </c>
      <c r="H4121" s="1">
        <v>1.24E-2</v>
      </c>
      <c r="I4121" s="1">
        <v>1.24E-2</v>
      </c>
      <c r="J4121" s="1">
        <v>0.3206</v>
      </c>
    </row>
    <row r="4122" spans="1:10" x14ac:dyDescent="0.2">
      <c r="A4122" t="str">
        <f>"17/01/2010"</f>
        <v>17/01/2010</v>
      </c>
      <c r="B4122">
        <v>1</v>
      </c>
      <c r="C4122">
        <v>30000</v>
      </c>
      <c r="D4122">
        <v>52495</v>
      </c>
      <c r="E4122">
        <v>30000</v>
      </c>
      <c r="F4122">
        <v>30000</v>
      </c>
      <c r="G4122" s="1">
        <v>1.2500000000000001E-2</v>
      </c>
      <c r="H4122" s="1">
        <v>1.24E-2</v>
      </c>
      <c r="I4122" s="1">
        <v>1.24E-2</v>
      </c>
      <c r="J4122" s="1">
        <v>0.37690000000000001</v>
      </c>
    </row>
    <row r="4123" spans="1:10" x14ac:dyDescent="0.2">
      <c r="A4123" t="str">
        <f>"14/01/2010"</f>
        <v>14/01/2010</v>
      </c>
      <c r="B4123">
        <v>3</v>
      </c>
      <c r="C4123">
        <v>39500</v>
      </c>
      <c r="D4123">
        <v>63200</v>
      </c>
      <c r="E4123">
        <v>39500</v>
      </c>
      <c r="F4123">
        <v>39500</v>
      </c>
      <c r="G4123" s="1">
        <v>1.2500000000000001E-2</v>
      </c>
      <c r="H4123" s="1">
        <v>1.2500000000000001E-2</v>
      </c>
      <c r="I4123" s="1">
        <v>1.2500000000000001E-2</v>
      </c>
      <c r="J4123" s="1">
        <v>0.48299999999999998</v>
      </c>
    </row>
    <row r="4124" spans="1:10" x14ac:dyDescent="0.2">
      <c r="A4124" t="str">
        <f>"13/01/2010"</f>
        <v>13/01/2010</v>
      </c>
      <c r="B4124">
        <v>1</v>
      </c>
      <c r="C4124">
        <v>42500</v>
      </c>
      <c r="D4124">
        <v>73740</v>
      </c>
      <c r="E4124">
        <v>42500</v>
      </c>
      <c r="F4124">
        <v>42500</v>
      </c>
      <c r="G4124" s="1">
        <v>1.2500000000000001E-2</v>
      </c>
      <c r="H4124" s="1">
        <v>1.2500000000000001E-2</v>
      </c>
      <c r="I4124" s="1">
        <v>1.2500000000000001E-2</v>
      </c>
      <c r="J4124" s="1">
        <v>0.53580000000000005</v>
      </c>
    </row>
    <row r="4125" spans="1:10" x14ac:dyDescent="0.2">
      <c r="A4125" t="str">
        <f>"12/01/2010"</f>
        <v>12/01/2010</v>
      </c>
      <c r="B4125">
        <v>1</v>
      </c>
      <c r="C4125">
        <v>42500</v>
      </c>
      <c r="D4125">
        <v>71784</v>
      </c>
      <c r="E4125">
        <v>42500</v>
      </c>
      <c r="F4125">
        <v>42500</v>
      </c>
      <c r="G4125" s="1">
        <v>1.2500000000000001E-2</v>
      </c>
      <c r="H4125" s="1">
        <v>1.2500000000000001E-2</v>
      </c>
      <c r="I4125" s="1">
        <v>1.2500000000000001E-2</v>
      </c>
      <c r="J4125" s="1">
        <v>0.55089999999999995</v>
      </c>
    </row>
    <row r="4126" spans="1:10" x14ac:dyDescent="0.2">
      <c r="A4126" t="str">
        <f>"11/01/2010"</f>
        <v>11/01/2010</v>
      </c>
      <c r="B4126">
        <v>1</v>
      </c>
      <c r="C4126">
        <v>43500</v>
      </c>
      <c r="D4126">
        <v>73700</v>
      </c>
      <c r="E4126">
        <v>43500</v>
      </c>
      <c r="F4126">
        <v>43500</v>
      </c>
      <c r="G4126" s="1">
        <v>1.2500000000000001E-2</v>
      </c>
      <c r="H4126" s="1">
        <v>1.2500000000000001E-2</v>
      </c>
      <c r="I4126" s="1">
        <v>1.2500000000000001E-2</v>
      </c>
      <c r="J4126" s="1">
        <v>0.54949999999999999</v>
      </c>
    </row>
    <row r="4127" spans="1:10" x14ac:dyDescent="0.2">
      <c r="A4127" t="str">
        <f>"10/01/2010"</f>
        <v>10/01/2010</v>
      </c>
      <c r="B4127">
        <v>1</v>
      </c>
      <c r="C4127">
        <v>42500</v>
      </c>
      <c r="D4127">
        <v>70319</v>
      </c>
      <c r="E4127">
        <v>42500</v>
      </c>
      <c r="F4127">
        <v>42500</v>
      </c>
      <c r="G4127" s="1">
        <v>1.2500000000000001E-2</v>
      </c>
      <c r="H4127" s="1">
        <v>1.2500000000000001E-2</v>
      </c>
      <c r="I4127" s="1">
        <v>1.2500000000000001E-2</v>
      </c>
      <c r="J4127" s="1">
        <v>0.56330000000000002</v>
      </c>
    </row>
    <row r="4128" spans="1:10" x14ac:dyDescent="0.2">
      <c r="A4128" t="str">
        <f>"07/01/2010"</f>
        <v>07/01/2010</v>
      </c>
      <c r="B4128">
        <v>3</v>
      </c>
      <c r="C4128">
        <v>42000</v>
      </c>
      <c r="D4128">
        <v>67755</v>
      </c>
      <c r="E4128">
        <v>42000</v>
      </c>
      <c r="F4128">
        <v>42000</v>
      </c>
      <c r="G4128" s="1">
        <v>1.2500000000000001E-2</v>
      </c>
      <c r="H4128" s="1">
        <v>1.2500000000000001E-2</v>
      </c>
      <c r="I4128" s="1">
        <v>1.2500000000000001E-2</v>
      </c>
      <c r="J4128" s="1">
        <v>0.5837</v>
      </c>
    </row>
    <row r="4129" spans="1:10" x14ac:dyDescent="0.2">
      <c r="A4129" t="str">
        <f>"06/01/2010"</f>
        <v>06/01/2010</v>
      </c>
      <c r="B4129">
        <v>1</v>
      </c>
      <c r="C4129">
        <v>40500</v>
      </c>
      <c r="D4129">
        <v>64004</v>
      </c>
      <c r="E4129">
        <v>40500</v>
      </c>
      <c r="F4129">
        <v>40500</v>
      </c>
      <c r="G4129" s="1">
        <v>1.2500000000000001E-2</v>
      </c>
      <c r="H4129" s="1">
        <v>1.2500000000000001E-2</v>
      </c>
      <c r="I4129" s="1">
        <v>1.2500000000000001E-2</v>
      </c>
      <c r="J4129" s="1">
        <v>0.57779999999999998</v>
      </c>
    </row>
    <row r="4130" spans="1:10" x14ac:dyDescent="0.2">
      <c r="A4130" t="str">
        <f>"05/01/2010"</f>
        <v>05/01/2010</v>
      </c>
      <c r="B4130">
        <v>1</v>
      </c>
      <c r="C4130">
        <v>44000</v>
      </c>
      <c r="D4130">
        <v>69486</v>
      </c>
      <c r="E4130">
        <v>44000</v>
      </c>
      <c r="F4130">
        <v>44000</v>
      </c>
      <c r="G4130" s="1">
        <v>1.2500000000000001E-2</v>
      </c>
      <c r="H4130" s="1">
        <v>1.2500000000000001E-2</v>
      </c>
      <c r="I4130" s="1">
        <v>1.2500000000000001E-2</v>
      </c>
      <c r="J4130" s="1">
        <v>0.58589999999999998</v>
      </c>
    </row>
    <row r="4131" spans="1:10" x14ac:dyDescent="0.2">
      <c r="A4131" t="str">
        <f>"04/01/2010"</f>
        <v>04/01/2010</v>
      </c>
      <c r="B4131">
        <v>1</v>
      </c>
      <c r="C4131">
        <v>44500</v>
      </c>
      <c r="D4131">
        <v>68528</v>
      </c>
      <c r="E4131">
        <v>44500</v>
      </c>
      <c r="F4131">
        <v>44500</v>
      </c>
      <c r="G4131" s="1">
        <v>1.2500000000000001E-2</v>
      </c>
      <c r="H4131" s="1">
        <v>1.2500000000000001E-2</v>
      </c>
      <c r="I4131" s="1">
        <v>1.2500000000000001E-2</v>
      </c>
      <c r="J4131" s="1">
        <v>0.61019999999999996</v>
      </c>
    </row>
    <row r="4132" spans="1:10" x14ac:dyDescent="0.2">
      <c r="A4132" t="str">
        <f>"03/01/2010"</f>
        <v>03/01/2010</v>
      </c>
      <c r="B4132">
        <v>1</v>
      </c>
      <c r="C4132">
        <v>45000</v>
      </c>
      <c r="D4132">
        <v>69873</v>
      </c>
      <c r="E4132">
        <v>45000</v>
      </c>
      <c r="F4132">
        <v>45000</v>
      </c>
      <c r="G4132" s="1">
        <v>1.2500000000000001E-2</v>
      </c>
      <c r="H4132" s="1">
        <v>1.2500000000000001E-2</v>
      </c>
      <c r="I4132" s="1">
        <v>1.2500000000000001E-2</v>
      </c>
      <c r="J4132" s="1">
        <v>0.60880000000000001</v>
      </c>
    </row>
    <row r="4133" spans="1:10" x14ac:dyDescent="0.2">
      <c r="A4133" t="str">
        <f>"01/01/2010"</f>
        <v>01/01/2010</v>
      </c>
      <c r="B4133">
        <v>2</v>
      </c>
      <c r="C4133">
        <v>46000</v>
      </c>
      <c r="D4133">
        <v>56105</v>
      </c>
      <c r="E4133">
        <v>46000</v>
      </c>
      <c r="F4133">
        <v>46000</v>
      </c>
      <c r="G4133" s="1">
        <v>1.2500000000000001E-2</v>
      </c>
      <c r="H4133" s="1">
        <v>1.2500000000000001E-2</v>
      </c>
      <c r="I4133" s="1">
        <v>1.2500000000000001E-2</v>
      </c>
      <c r="J4133" s="1">
        <v>0.79830000000000001</v>
      </c>
    </row>
    <row r="4134" spans="1:10" x14ac:dyDescent="0.2">
      <c r="A4134" t="str">
        <f>"31/12/2009"</f>
        <v>31/12/2009</v>
      </c>
      <c r="B4134">
        <v>1</v>
      </c>
      <c r="C4134">
        <v>41500</v>
      </c>
      <c r="D4134">
        <v>49460</v>
      </c>
      <c r="E4134">
        <v>41500</v>
      </c>
      <c r="F4134">
        <v>41500</v>
      </c>
      <c r="G4134" s="1">
        <v>1.2500000000000001E-2</v>
      </c>
      <c r="H4134" s="1">
        <v>1.24E-2</v>
      </c>
      <c r="I4134" s="1">
        <v>1.24E-2</v>
      </c>
      <c r="J4134" s="1">
        <v>0.72550000000000003</v>
      </c>
    </row>
    <row r="4135" spans="1:10" x14ac:dyDescent="0.2">
      <c r="A4135" t="str">
        <f>"30/12/2009"</f>
        <v>30/12/2009</v>
      </c>
      <c r="B4135">
        <v>1</v>
      </c>
      <c r="C4135">
        <v>39000</v>
      </c>
      <c r="D4135">
        <v>36825</v>
      </c>
      <c r="E4135">
        <v>36825</v>
      </c>
      <c r="F4135">
        <v>36825</v>
      </c>
      <c r="G4135" s="1">
        <v>0.01</v>
      </c>
      <c r="H4135" s="1">
        <v>9.9000000000000008E-3</v>
      </c>
      <c r="I4135" s="1">
        <v>9.9000000000000008E-3</v>
      </c>
      <c r="J4135" s="1">
        <v>1</v>
      </c>
    </row>
    <row r="4136" spans="1:10" x14ac:dyDescent="0.2">
      <c r="A4136" t="str">
        <f>"29/12/2009"</f>
        <v>29/12/2009</v>
      </c>
      <c r="B4136">
        <v>1</v>
      </c>
      <c r="C4136">
        <v>34000</v>
      </c>
      <c r="D4136">
        <v>73528</v>
      </c>
      <c r="E4136">
        <v>34000</v>
      </c>
      <c r="F4136">
        <v>34000</v>
      </c>
      <c r="G4136" s="1">
        <v>0.01</v>
      </c>
      <c r="H4136" s="1">
        <v>9.9000000000000008E-3</v>
      </c>
      <c r="I4136" s="1">
        <v>9.9000000000000008E-3</v>
      </c>
      <c r="J4136" s="1">
        <v>0.23100000000000001</v>
      </c>
    </row>
    <row r="4137" spans="1:10" x14ac:dyDescent="0.2">
      <c r="A4137" t="str">
        <f>"28/12/2009"</f>
        <v>28/12/2009</v>
      </c>
      <c r="B4137">
        <v>1</v>
      </c>
      <c r="C4137">
        <v>36500</v>
      </c>
      <c r="D4137">
        <v>79678</v>
      </c>
      <c r="E4137">
        <v>36500</v>
      </c>
      <c r="F4137">
        <v>36500</v>
      </c>
      <c r="G4137" s="1">
        <v>0.01</v>
      </c>
      <c r="H4137" s="1">
        <v>0.01</v>
      </c>
      <c r="I4137" s="1">
        <v>0.01</v>
      </c>
      <c r="J4137" s="1">
        <v>0.32529999999999998</v>
      </c>
    </row>
    <row r="4138" spans="1:10" x14ac:dyDescent="0.2">
      <c r="A4138" t="str">
        <f>"27/12/2009"</f>
        <v>27/12/2009</v>
      </c>
      <c r="B4138">
        <v>1</v>
      </c>
      <c r="C4138">
        <v>32000</v>
      </c>
      <c r="D4138">
        <v>64082</v>
      </c>
      <c r="E4138">
        <v>32000</v>
      </c>
      <c r="F4138">
        <v>32000</v>
      </c>
      <c r="G4138" s="1">
        <v>0.01</v>
      </c>
      <c r="H4138" s="1">
        <v>9.9000000000000008E-3</v>
      </c>
      <c r="I4138" s="1">
        <v>9.9000000000000008E-3</v>
      </c>
      <c r="J4138" s="1">
        <v>0.3145</v>
      </c>
    </row>
    <row r="4139" spans="1:10" x14ac:dyDescent="0.2">
      <c r="A4139" t="str">
        <f>"24/12/2009"</f>
        <v>24/12/2009</v>
      </c>
      <c r="B4139">
        <v>3</v>
      </c>
      <c r="C4139">
        <v>29500</v>
      </c>
      <c r="D4139">
        <v>63155</v>
      </c>
      <c r="E4139">
        <v>29500</v>
      </c>
      <c r="F4139">
        <v>29500</v>
      </c>
      <c r="G4139" s="1">
        <v>0.01</v>
      </c>
      <c r="H4139" s="1">
        <v>0.01</v>
      </c>
      <c r="I4139" s="1">
        <v>0.01</v>
      </c>
      <c r="J4139" s="1">
        <v>0.35770000000000002</v>
      </c>
    </row>
    <row r="4140" spans="1:10" x14ac:dyDescent="0.2">
      <c r="A4140" t="str">
        <f>"23/12/2009"</f>
        <v>23/12/2009</v>
      </c>
      <c r="B4140">
        <v>1</v>
      </c>
      <c r="C4140">
        <v>29000</v>
      </c>
      <c r="D4140">
        <v>74724</v>
      </c>
      <c r="E4140">
        <v>29000</v>
      </c>
      <c r="F4140">
        <v>29000</v>
      </c>
      <c r="G4140" s="1">
        <v>0.01</v>
      </c>
      <c r="H4140" s="1">
        <v>0.01</v>
      </c>
      <c r="I4140" s="1">
        <v>0.01</v>
      </c>
      <c r="J4140" s="1">
        <v>0.2742</v>
      </c>
    </row>
    <row r="4141" spans="1:10" x14ac:dyDescent="0.2">
      <c r="A4141" t="str">
        <f>"22/12/2009"</f>
        <v>22/12/2009</v>
      </c>
      <c r="B4141">
        <v>1</v>
      </c>
      <c r="C4141">
        <v>26000</v>
      </c>
      <c r="D4141">
        <v>65095</v>
      </c>
      <c r="E4141">
        <v>26000</v>
      </c>
      <c r="F4141">
        <v>26000</v>
      </c>
      <c r="G4141" s="1">
        <v>0.01</v>
      </c>
      <c r="H4141" s="1">
        <v>0.01</v>
      </c>
      <c r="I4141" s="1">
        <v>0.01</v>
      </c>
      <c r="J4141" s="1">
        <v>0.28660000000000002</v>
      </c>
    </row>
    <row r="4142" spans="1:10" x14ac:dyDescent="0.2">
      <c r="A4142" t="str">
        <f>"21/12/2009"</f>
        <v>21/12/2009</v>
      </c>
      <c r="B4142">
        <v>1</v>
      </c>
      <c r="C4142">
        <v>27000</v>
      </c>
      <c r="D4142">
        <v>59985</v>
      </c>
      <c r="E4142">
        <v>27000</v>
      </c>
      <c r="F4142">
        <v>27000</v>
      </c>
      <c r="G4142" s="1">
        <v>0.01</v>
      </c>
      <c r="H4142" s="1">
        <v>0.01</v>
      </c>
      <c r="I4142" s="1">
        <v>0.01</v>
      </c>
      <c r="J4142" s="1">
        <v>0.35289999999999999</v>
      </c>
    </row>
    <row r="4143" spans="1:10" x14ac:dyDescent="0.2">
      <c r="A4143" t="str">
        <f>"20/12/2009"</f>
        <v>20/12/2009</v>
      </c>
      <c r="B4143">
        <v>1</v>
      </c>
      <c r="C4143">
        <v>28000</v>
      </c>
      <c r="D4143">
        <v>56564</v>
      </c>
      <c r="E4143">
        <v>28000</v>
      </c>
      <c r="F4143">
        <v>28000</v>
      </c>
      <c r="G4143" s="1">
        <v>0.01</v>
      </c>
      <c r="H4143" s="1">
        <v>0.01</v>
      </c>
      <c r="I4143" s="1">
        <v>0.01</v>
      </c>
      <c r="J4143" s="1">
        <v>0.4224</v>
      </c>
    </row>
    <row r="4144" spans="1:10" x14ac:dyDescent="0.2">
      <c r="A4144" t="str">
        <f>"17/12/2009"</f>
        <v>17/12/2009</v>
      </c>
      <c r="B4144">
        <v>3</v>
      </c>
      <c r="C4144">
        <v>27000</v>
      </c>
      <c r="D4144">
        <v>45177</v>
      </c>
      <c r="E4144">
        <v>27000</v>
      </c>
      <c r="F4144">
        <v>27000</v>
      </c>
      <c r="G4144" s="1">
        <v>0.01</v>
      </c>
      <c r="H4144" s="1">
        <v>0.01</v>
      </c>
      <c r="I4144" s="1">
        <v>0.01</v>
      </c>
      <c r="J4144" s="1">
        <v>0.54430000000000001</v>
      </c>
    </row>
    <row r="4145" spans="1:10" x14ac:dyDescent="0.2">
      <c r="A4145" t="str">
        <f>"16/12/2009"</f>
        <v>16/12/2009</v>
      </c>
      <c r="B4145">
        <v>1</v>
      </c>
      <c r="C4145">
        <v>27500</v>
      </c>
      <c r="D4145">
        <v>42234</v>
      </c>
      <c r="E4145">
        <v>27500</v>
      </c>
      <c r="F4145">
        <v>27500</v>
      </c>
      <c r="G4145" s="1">
        <v>0.01</v>
      </c>
      <c r="H4145" s="1">
        <v>0.01</v>
      </c>
      <c r="I4145" s="1">
        <v>0.01</v>
      </c>
      <c r="J4145" s="1">
        <v>0.60389999999999999</v>
      </c>
    </row>
    <row r="4146" spans="1:10" x14ac:dyDescent="0.2">
      <c r="A4146" t="str">
        <f>"15/12/2009"</f>
        <v>15/12/2009</v>
      </c>
      <c r="B4146">
        <v>1</v>
      </c>
      <c r="C4146">
        <v>38500</v>
      </c>
      <c r="D4146">
        <v>53560</v>
      </c>
      <c r="E4146">
        <v>38500</v>
      </c>
      <c r="F4146">
        <v>38500</v>
      </c>
      <c r="G4146" s="1">
        <v>0.01</v>
      </c>
      <c r="H4146" s="1">
        <v>0.01</v>
      </c>
      <c r="I4146" s="1">
        <v>0.01</v>
      </c>
      <c r="J4146" s="1">
        <v>0.68330000000000002</v>
      </c>
    </row>
    <row r="4147" spans="1:10" x14ac:dyDescent="0.2">
      <c r="A4147" t="str">
        <f>"14/12/2009"</f>
        <v>14/12/2009</v>
      </c>
      <c r="B4147">
        <v>1</v>
      </c>
      <c r="C4147">
        <v>39000</v>
      </c>
      <c r="D4147">
        <v>54236</v>
      </c>
      <c r="E4147">
        <v>39000</v>
      </c>
      <c r="F4147">
        <v>39000</v>
      </c>
      <c r="G4147" s="1">
        <v>0.01</v>
      </c>
      <c r="H4147" s="1">
        <v>0.01</v>
      </c>
      <c r="I4147" s="1">
        <v>0.01</v>
      </c>
      <c r="J4147" s="1">
        <v>0.68430000000000002</v>
      </c>
    </row>
    <row r="4148" spans="1:10" x14ac:dyDescent="0.2">
      <c r="A4148" t="str">
        <f>"13/12/2009"</f>
        <v>13/12/2009</v>
      </c>
      <c r="B4148">
        <v>1</v>
      </c>
      <c r="C4148">
        <v>38500</v>
      </c>
      <c r="D4148">
        <v>53813</v>
      </c>
      <c r="E4148">
        <v>38500</v>
      </c>
      <c r="F4148">
        <v>38500</v>
      </c>
      <c r="G4148" s="1">
        <v>0.01</v>
      </c>
      <c r="H4148" s="1">
        <v>0.01</v>
      </c>
      <c r="I4148" s="1">
        <v>0.01</v>
      </c>
      <c r="J4148" s="1">
        <v>0.67900000000000005</v>
      </c>
    </row>
    <row r="4149" spans="1:10" x14ac:dyDescent="0.2">
      <c r="A4149" t="str">
        <f>"10/12/2009"</f>
        <v>10/12/2009</v>
      </c>
      <c r="B4149">
        <v>3</v>
      </c>
      <c r="C4149">
        <v>38000</v>
      </c>
      <c r="D4149">
        <v>52601</v>
      </c>
      <c r="E4149">
        <v>38000</v>
      </c>
      <c r="F4149">
        <v>38000</v>
      </c>
      <c r="G4149" s="1">
        <v>0.01</v>
      </c>
      <c r="H4149" s="1">
        <v>0.01</v>
      </c>
      <c r="I4149" s="1">
        <v>0.01</v>
      </c>
      <c r="J4149" s="1">
        <v>0.68379999999999996</v>
      </c>
    </row>
    <row r="4150" spans="1:10" x14ac:dyDescent="0.2">
      <c r="A4150" t="str">
        <f>"09/12/2009"</f>
        <v>09/12/2009</v>
      </c>
      <c r="B4150">
        <v>1</v>
      </c>
      <c r="C4150">
        <v>40000</v>
      </c>
      <c r="D4150">
        <v>53658</v>
      </c>
      <c r="E4150">
        <v>40000</v>
      </c>
      <c r="F4150">
        <v>40000</v>
      </c>
      <c r="G4150" s="1">
        <v>0.01</v>
      </c>
      <c r="H4150" s="1">
        <v>0.01</v>
      </c>
      <c r="I4150" s="1">
        <v>0.01</v>
      </c>
      <c r="J4150" s="1">
        <v>0.7137</v>
      </c>
    </row>
    <row r="4151" spans="1:10" x14ac:dyDescent="0.2">
      <c r="A4151" t="str">
        <f>"08/12/2009"</f>
        <v>08/12/2009</v>
      </c>
      <c r="B4151">
        <v>1</v>
      </c>
      <c r="C4151">
        <v>38000</v>
      </c>
      <c r="D4151">
        <v>55538</v>
      </c>
      <c r="E4151">
        <v>38000</v>
      </c>
      <c r="F4151">
        <v>38000</v>
      </c>
      <c r="G4151" s="1">
        <v>0.01</v>
      </c>
      <c r="H4151" s="1">
        <v>0.01</v>
      </c>
      <c r="I4151" s="1">
        <v>0.01</v>
      </c>
      <c r="J4151" s="1">
        <v>0.64300000000000002</v>
      </c>
    </row>
    <row r="4152" spans="1:10" x14ac:dyDescent="0.2">
      <c r="A4152" t="str">
        <f>"07/12/2009"</f>
        <v>07/12/2009</v>
      </c>
      <c r="B4152">
        <v>1</v>
      </c>
      <c r="C4152">
        <v>39000</v>
      </c>
      <c r="D4152">
        <v>58977</v>
      </c>
      <c r="E4152">
        <v>39000</v>
      </c>
      <c r="F4152">
        <v>39000</v>
      </c>
      <c r="G4152" s="1">
        <v>0.01</v>
      </c>
      <c r="H4152" s="1">
        <v>0.01</v>
      </c>
      <c r="I4152" s="1">
        <v>0.01</v>
      </c>
      <c r="J4152" s="1">
        <v>0.62039999999999995</v>
      </c>
    </row>
    <row r="4153" spans="1:10" x14ac:dyDescent="0.2">
      <c r="A4153" t="str">
        <f>"06/12/2009"</f>
        <v>06/12/2009</v>
      </c>
      <c r="B4153">
        <v>1</v>
      </c>
      <c r="C4153">
        <v>39000</v>
      </c>
      <c r="D4153">
        <v>57198</v>
      </c>
      <c r="E4153">
        <v>39000</v>
      </c>
      <c r="F4153">
        <v>39000</v>
      </c>
      <c r="G4153" s="1">
        <v>0.01</v>
      </c>
      <c r="H4153" s="1">
        <v>0.01</v>
      </c>
      <c r="I4153" s="1">
        <v>0.01</v>
      </c>
      <c r="J4153" s="1">
        <v>0.63990000000000002</v>
      </c>
    </row>
    <row r="4154" spans="1:10" x14ac:dyDescent="0.2">
      <c r="A4154" t="str">
        <f>"03/12/2009"</f>
        <v>03/12/2009</v>
      </c>
      <c r="B4154">
        <v>3</v>
      </c>
      <c r="C4154">
        <v>40000</v>
      </c>
      <c r="D4154">
        <v>60220</v>
      </c>
      <c r="E4154">
        <v>40000</v>
      </c>
      <c r="F4154">
        <v>40000</v>
      </c>
      <c r="G4154" s="1">
        <v>0.01</v>
      </c>
      <c r="H4154" s="1">
        <v>0.01</v>
      </c>
      <c r="I4154" s="1">
        <v>0.01</v>
      </c>
      <c r="J4154" s="1">
        <v>0.62760000000000005</v>
      </c>
    </row>
    <row r="4155" spans="1:10" x14ac:dyDescent="0.2">
      <c r="A4155" t="str">
        <f>"02/12/2009"</f>
        <v>02/12/2009</v>
      </c>
      <c r="B4155">
        <v>1</v>
      </c>
      <c r="C4155">
        <v>38500</v>
      </c>
      <c r="D4155">
        <v>56720</v>
      </c>
      <c r="E4155">
        <v>38500</v>
      </c>
      <c r="F4155">
        <v>38500</v>
      </c>
      <c r="G4155" s="1">
        <v>0.01</v>
      </c>
      <c r="H4155" s="1">
        <v>0.01</v>
      </c>
      <c r="I4155" s="1">
        <v>0.01</v>
      </c>
      <c r="J4155" s="1">
        <v>0.63239999999999996</v>
      </c>
    </row>
    <row r="4156" spans="1:10" x14ac:dyDescent="0.2">
      <c r="A4156" t="str">
        <f>"01/12/2009"</f>
        <v>01/12/2009</v>
      </c>
      <c r="B4156">
        <v>1</v>
      </c>
      <c r="C4156">
        <v>42000</v>
      </c>
      <c r="D4156">
        <v>67007</v>
      </c>
      <c r="E4156">
        <v>42000</v>
      </c>
      <c r="F4156">
        <v>42000</v>
      </c>
      <c r="G4156" s="1">
        <v>0.01</v>
      </c>
      <c r="H4156" s="1">
        <v>0.01</v>
      </c>
      <c r="I4156" s="1">
        <v>0.01</v>
      </c>
      <c r="J4156" s="1">
        <v>0.58860000000000001</v>
      </c>
    </row>
    <row r="4157" spans="1:10" x14ac:dyDescent="0.2">
      <c r="A4157" t="str">
        <f>"30/11/2009"</f>
        <v>30/11/2009</v>
      </c>
      <c r="B4157">
        <v>1</v>
      </c>
      <c r="C4157">
        <v>37500</v>
      </c>
      <c r="D4157">
        <v>58110</v>
      </c>
      <c r="E4157">
        <v>37500</v>
      </c>
      <c r="F4157">
        <v>37500</v>
      </c>
      <c r="G4157" s="1">
        <v>0.01</v>
      </c>
      <c r="H4157" s="1">
        <v>0.01</v>
      </c>
      <c r="I4157" s="1">
        <v>0.01</v>
      </c>
      <c r="J4157" s="1">
        <v>0.59750000000000003</v>
      </c>
    </row>
    <row r="4158" spans="1:10" x14ac:dyDescent="0.2">
      <c r="A4158" t="str">
        <f>"29/11/2009"</f>
        <v>29/11/2009</v>
      </c>
      <c r="B4158">
        <v>1</v>
      </c>
      <c r="C4158">
        <v>34500</v>
      </c>
      <c r="D4158">
        <v>53284</v>
      </c>
      <c r="E4158">
        <v>34500</v>
      </c>
      <c r="F4158">
        <v>34500</v>
      </c>
      <c r="G4158" s="1">
        <v>0.01</v>
      </c>
      <c r="H4158" s="1">
        <v>0.01</v>
      </c>
      <c r="I4158" s="1">
        <v>0.01</v>
      </c>
      <c r="J4158" s="1">
        <v>0.60499999999999998</v>
      </c>
    </row>
    <row r="4159" spans="1:10" x14ac:dyDescent="0.2">
      <c r="A4159" t="str">
        <f>"26/11/2009"</f>
        <v>26/11/2009</v>
      </c>
      <c r="B4159">
        <v>3</v>
      </c>
      <c r="C4159">
        <v>35500</v>
      </c>
      <c r="D4159">
        <v>55160</v>
      </c>
      <c r="E4159">
        <v>35500</v>
      </c>
      <c r="F4159">
        <v>35500</v>
      </c>
      <c r="G4159" s="1">
        <v>0.01</v>
      </c>
      <c r="H4159" s="1">
        <v>0.01</v>
      </c>
      <c r="I4159" s="1">
        <v>0.01</v>
      </c>
      <c r="J4159" s="1">
        <v>0.59709999999999996</v>
      </c>
    </row>
    <row r="4160" spans="1:10" x14ac:dyDescent="0.2">
      <c r="A4160" t="str">
        <f>"25/11/2009"</f>
        <v>25/11/2009</v>
      </c>
      <c r="B4160">
        <v>1</v>
      </c>
      <c r="C4160">
        <v>34500</v>
      </c>
      <c r="D4160">
        <v>28828</v>
      </c>
      <c r="E4160">
        <v>28828</v>
      </c>
      <c r="F4160">
        <v>28828</v>
      </c>
      <c r="G4160" s="1">
        <v>7.4999999999999997E-3</v>
      </c>
      <c r="H4160" s="1">
        <v>7.4000000000000003E-3</v>
      </c>
      <c r="I4160" s="1">
        <v>7.4000000000000003E-3</v>
      </c>
      <c r="J4160" s="1">
        <v>1</v>
      </c>
    </row>
    <row r="4161" spans="1:10" x14ac:dyDescent="0.2">
      <c r="A4161" t="str">
        <f>"24/11/2009"</f>
        <v>24/11/2009</v>
      </c>
      <c r="B4161">
        <v>1</v>
      </c>
      <c r="C4161">
        <v>28000</v>
      </c>
      <c r="D4161">
        <v>53036</v>
      </c>
      <c r="E4161">
        <v>28000</v>
      </c>
      <c r="F4161">
        <v>28000</v>
      </c>
      <c r="G4161" s="1">
        <v>7.4999999999999997E-3</v>
      </c>
      <c r="H4161" s="1">
        <v>7.4000000000000003E-3</v>
      </c>
      <c r="I4161" s="1">
        <v>7.4000000000000003E-3</v>
      </c>
      <c r="J4161" s="1">
        <v>0.35310000000000002</v>
      </c>
    </row>
    <row r="4162" spans="1:10" x14ac:dyDescent="0.2">
      <c r="A4162" t="str">
        <f>"23/11/2009"</f>
        <v>23/11/2009</v>
      </c>
      <c r="B4162">
        <v>1</v>
      </c>
      <c r="C4162">
        <v>28000</v>
      </c>
      <c r="D4162">
        <v>60842</v>
      </c>
      <c r="E4162">
        <v>28000</v>
      </c>
      <c r="F4162">
        <v>28000</v>
      </c>
      <c r="G4162" s="1">
        <v>7.4999999999999997E-3</v>
      </c>
      <c r="H4162" s="1">
        <v>7.4999999999999997E-3</v>
      </c>
      <c r="I4162" s="1">
        <v>7.4999999999999997E-3</v>
      </c>
      <c r="J4162" s="1">
        <v>0.33179999999999998</v>
      </c>
    </row>
    <row r="4163" spans="1:10" x14ac:dyDescent="0.2">
      <c r="A4163" t="str">
        <f>"22/11/2009"</f>
        <v>22/11/2009</v>
      </c>
      <c r="B4163">
        <v>1</v>
      </c>
      <c r="C4163">
        <v>28000</v>
      </c>
      <c r="D4163">
        <v>62257</v>
      </c>
      <c r="E4163">
        <v>28000</v>
      </c>
      <c r="F4163">
        <v>28000</v>
      </c>
      <c r="G4163" s="1">
        <v>7.4999999999999997E-3</v>
      </c>
      <c r="H4163" s="1">
        <v>7.4999999999999997E-3</v>
      </c>
      <c r="I4163" s="1">
        <v>7.4999999999999997E-3</v>
      </c>
      <c r="J4163" s="1">
        <v>0.37030000000000002</v>
      </c>
    </row>
    <row r="4164" spans="1:10" x14ac:dyDescent="0.2">
      <c r="A4164" t="str">
        <f>"19/11/2009"</f>
        <v>19/11/2009</v>
      </c>
      <c r="B4164">
        <v>3</v>
      </c>
      <c r="C4164">
        <v>29000</v>
      </c>
      <c r="D4164">
        <v>55811</v>
      </c>
      <c r="E4164">
        <v>29000</v>
      </c>
      <c r="F4164">
        <v>29000</v>
      </c>
      <c r="G4164" s="1">
        <v>7.4999999999999997E-3</v>
      </c>
      <c r="H4164" s="1">
        <v>7.4999999999999997E-3</v>
      </c>
      <c r="I4164" s="1">
        <v>7.4999999999999997E-3</v>
      </c>
      <c r="J4164" s="1">
        <v>0.44259999999999999</v>
      </c>
    </row>
    <row r="4165" spans="1:10" x14ac:dyDescent="0.2">
      <c r="A4165" t="str">
        <f>"18/11/2009"</f>
        <v>18/11/2009</v>
      </c>
      <c r="B4165">
        <v>1</v>
      </c>
      <c r="C4165">
        <v>29000</v>
      </c>
      <c r="D4165">
        <v>55748</v>
      </c>
      <c r="E4165">
        <v>29000</v>
      </c>
      <c r="F4165">
        <v>29000</v>
      </c>
      <c r="G4165" s="1">
        <v>7.4999999999999997E-3</v>
      </c>
      <c r="H4165" s="1">
        <v>7.4999999999999997E-3</v>
      </c>
      <c r="I4165" s="1">
        <v>7.4999999999999997E-3</v>
      </c>
      <c r="J4165" s="1">
        <v>0.45739999999999997</v>
      </c>
    </row>
    <row r="4166" spans="1:10" x14ac:dyDescent="0.2">
      <c r="A4166" t="str">
        <f>"17/11/2009"</f>
        <v>17/11/2009</v>
      </c>
      <c r="B4166">
        <v>1</v>
      </c>
      <c r="C4166">
        <v>29000</v>
      </c>
      <c r="D4166">
        <v>57883</v>
      </c>
      <c r="E4166">
        <v>29000</v>
      </c>
      <c r="F4166">
        <v>29000</v>
      </c>
      <c r="G4166" s="1">
        <v>7.4999999999999997E-3</v>
      </c>
      <c r="H4166" s="1">
        <v>7.4999999999999997E-3</v>
      </c>
      <c r="I4166" s="1">
        <v>7.4999999999999997E-3</v>
      </c>
      <c r="J4166" s="1">
        <v>0.45250000000000001</v>
      </c>
    </row>
    <row r="4167" spans="1:10" x14ac:dyDescent="0.2">
      <c r="A4167" t="str">
        <f>"16/11/2009"</f>
        <v>16/11/2009</v>
      </c>
      <c r="B4167">
        <v>1</v>
      </c>
      <c r="C4167">
        <v>30000</v>
      </c>
      <c r="D4167">
        <v>52474</v>
      </c>
      <c r="E4167">
        <v>30000</v>
      </c>
      <c r="F4167">
        <v>30000</v>
      </c>
      <c r="G4167" s="1">
        <v>7.4999999999999997E-3</v>
      </c>
      <c r="H4167" s="1">
        <v>7.4999999999999997E-3</v>
      </c>
      <c r="I4167" s="1">
        <v>7.4999999999999997E-3</v>
      </c>
      <c r="J4167" s="1">
        <v>0.51419999999999999</v>
      </c>
    </row>
    <row r="4168" spans="1:10" x14ac:dyDescent="0.2">
      <c r="A4168" t="str">
        <f>"15/11/2009"</f>
        <v>15/11/2009</v>
      </c>
      <c r="B4168">
        <v>1</v>
      </c>
      <c r="C4168">
        <v>38000</v>
      </c>
      <c r="D4168">
        <v>60070</v>
      </c>
      <c r="E4168">
        <v>38000</v>
      </c>
      <c r="F4168">
        <v>38000</v>
      </c>
      <c r="G4168" s="1">
        <v>7.4999999999999997E-3</v>
      </c>
      <c r="H4168" s="1">
        <v>7.4999999999999997E-3</v>
      </c>
      <c r="I4168" s="1">
        <v>7.4999999999999997E-3</v>
      </c>
      <c r="J4168" s="1">
        <v>0.5917</v>
      </c>
    </row>
    <row r="4169" spans="1:10" x14ac:dyDescent="0.2">
      <c r="A4169" t="str">
        <f>"12/11/2009"</f>
        <v>12/11/2009</v>
      </c>
      <c r="B4169">
        <v>3</v>
      </c>
      <c r="C4169">
        <v>42000</v>
      </c>
      <c r="D4169">
        <v>59750</v>
      </c>
      <c r="E4169">
        <v>42000</v>
      </c>
      <c r="F4169">
        <v>42000</v>
      </c>
      <c r="G4169" s="1">
        <v>7.4999999999999997E-3</v>
      </c>
      <c r="H4169" s="1">
        <v>7.4999999999999997E-3</v>
      </c>
      <c r="I4169" s="1">
        <v>7.4999999999999997E-3</v>
      </c>
      <c r="J4169" s="1">
        <v>0.66979999999999995</v>
      </c>
    </row>
    <row r="4170" spans="1:10" x14ac:dyDescent="0.2">
      <c r="A4170" t="str">
        <f>"11/11/2009"</f>
        <v>11/11/2009</v>
      </c>
      <c r="B4170">
        <v>1</v>
      </c>
      <c r="C4170">
        <v>43500</v>
      </c>
      <c r="D4170">
        <v>64076</v>
      </c>
      <c r="E4170">
        <v>43500</v>
      </c>
      <c r="F4170">
        <v>43500</v>
      </c>
      <c r="G4170" s="1">
        <v>7.4999999999999997E-3</v>
      </c>
      <c r="H4170" s="1">
        <v>7.4999999999999997E-3</v>
      </c>
      <c r="I4170" s="1">
        <v>7.4999999999999997E-3</v>
      </c>
      <c r="J4170" s="1">
        <v>0.63649999999999995</v>
      </c>
    </row>
    <row r="4171" spans="1:10" x14ac:dyDescent="0.2">
      <c r="A4171" t="str">
        <f>"10/11/2009"</f>
        <v>10/11/2009</v>
      </c>
      <c r="B4171">
        <v>1</v>
      </c>
      <c r="C4171">
        <v>44500</v>
      </c>
      <c r="D4171">
        <v>66715</v>
      </c>
      <c r="E4171">
        <v>44500</v>
      </c>
      <c r="F4171">
        <v>44500</v>
      </c>
      <c r="G4171" s="1">
        <v>7.4999999999999997E-3</v>
      </c>
      <c r="H4171" s="1">
        <v>7.4999999999999997E-3</v>
      </c>
      <c r="I4171" s="1">
        <v>7.4999999999999997E-3</v>
      </c>
      <c r="J4171" s="1">
        <v>0.63280000000000003</v>
      </c>
    </row>
    <row r="4172" spans="1:10" x14ac:dyDescent="0.2">
      <c r="A4172" t="str">
        <f>"09/11/2009"</f>
        <v>09/11/2009</v>
      </c>
      <c r="B4172">
        <v>1</v>
      </c>
      <c r="C4172">
        <v>44500</v>
      </c>
      <c r="D4172">
        <v>66840</v>
      </c>
      <c r="E4172">
        <v>44500</v>
      </c>
      <c r="F4172">
        <v>44500</v>
      </c>
      <c r="G4172" s="1">
        <v>7.4999999999999997E-3</v>
      </c>
      <c r="H4172" s="1">
        <v>7.4999999999999997E-3</v>
      </c>
      <c r="I4172" s="1">
        <v>7.4999999999999997E-3</v>
      </c>
      <c r="J4172" s="1">
        <v>0.628</v>
      </c>
    </row>
    <row r="4173" spans="1:10" x14ac:dyDescent="0.2">
      <c r="A4173" t="str">
        <f>"08/11/2009"</f>
        <v>08/11/2009</v>
      </c>
      <c r="B4173">
        <v>1</v>
      </c>
      <c r="C4173">
        <v>44500</v>
      </c>
      <c r="D4173">
        <v>65163</v>
      </c>
      <c r="E4173">
        <v>44500</v>
      </c>
      <c r="F4173">
        <v>44500</v>
      </c>
      <c r="G4173" s="1">
        <v>7.4999999999999997E-3</v>
      </c>
      <c r="H4173" s="1">
        <v>7.4999999999999997E-3</v>
      </c>
      <c r="I4173" s="1">
        <v>7.4999999999999997E-3</v>
      </c>
      <c r="J4173" s="1">
        <v>0.64280000000000004</v>
      </c>
    </row>
    <row r="4174" spans="1:10" x14ac:dyDescent="0.2">
      <c r="A4174" t="str">
        <f>"05/11/2009"</f>
        <v>05/11/2009</v>
      </c>
      <c r="B4174">
        <v>3</v>
      </c>
      <c r="C4174">
        <v>44000</v>
      </c>
      <c r="D4174">
        <v>62644</v>
      </c>
      <c r="E4174">
        <v>44000</v>
      </c>
      <c r="F4174">
        <v>44000</v>
      </c>
      <c r="G4174" s="1">
        <v>7.4999999999999997E-3</v>
      </c>
      <c r="H4174" s="1">
        <v>7.4999999999999997E-3</v>
      </c>
      <c r="I4174" s="1">
        <v>7.4999999999999997E-3</v>
      </c>
      <c r="J4174" s="1">
        <v>0.66100000000000003</v>
      </c>
    </row>
    <row r="4175" spans="1:10" x14ac:dyDescent="0.2">
      <c r="A4175" t="str">
        <f>"04/11/2009"</f>
        <v>04/11/2009</v>
      </c>
      <c r="B4175">
        <v>1</v>
      </c>
      <c r="C4175">
        <v>43500</v>
      </c>
      <c r="D4175">
        <v>62356</v>
      </c>
      <c r="E4175">
        <v>43500</v>
      </c>
      <c r="F4175">
        <v>43500</v>
      </c>
      <c r="G4175" s="1">
        <v>7.4999999999999997E-3</v>
      </c>
      <c r="H4175" s="1">
        <v>7.4999999999999997E-3</v>
      </c>
      <c r="I4175" s="1">
        <v>7.4999999999999997E-3</v>
      </c>
      <c r="J4175" s="1">
        <v>0.64190000000000003</v>
      </c>
    </row>
    <row r="4176" spans="1:10" x14ac:dyDescent="0.2">
      <c r="A4176" t="str">
        <f>"03/11/2009"</f>
        <v>03/11/2009</v>
      </c>
      <c r="B4176">
        <v>1</v>
      </c>
      <c r="C4176">
        <v>45000</v>
      </c>
      <c r="D4176">
        <v>65602</v>
      </c>
      <c r="E4176">
        <v>45000</v>
      </c>
      <c r="F4176">
        <v>45000</v>
      </c>
      <c r="G4176" s="1">
        <v>7.4999999999999997E-3</v>
      </c>
      <c r="H4176" s="1">
        <v>7.4999999999999997E-3</v>
      </c>
      <c r="I4176" s="1">
        <v>7.4999999999999997E-3</v>
      </c>
      <c r="J4176" s="1">
        <v>0.62129999999999996</v>
      </c>
    </row>
    <row r="4177" spans="1:10" x14ac:dyDescent="0.2">
      <c r="A4177" t="str">
        <f>"02/11/2009"</f>
        <v>02/11/2009</v>
      </c>
      <c r="B4177">
        <v>1</v>
      </c>
      <c r="C4177">
        <v>45500</v>
      </c>
      <c r="D4177">
        <v>68423</v>
      </c>
      <c r="E4177">
        <v>45500</v>
      </c>
      <c r="F4177">
        <v>45500</v>
      </c>
      <c r="G4177" s="1">
        <v>7.4999999999999997E-3</v>
      </c>
      <c r="H4177" s="1">
        <v>7.4999999999999997E-3</v>
      </c>
      <c r="I4177" s="1">
        <v>7.4999999999999997E-3</v>
      </c>
      <c r="J4177" s="1">
        <v>0.61380000000000001</v>
      </c>
    </row>
    <row r="4178" spans="1:10" x14ac:dyDescent="0.2">
      <c r="A4178" t="str">
        <f>"01/11/2009"</f>
        <v>01/11/2009</v>
      </c>
      <c r="B4178">
        <v>1</v>
      </c>
      <c r="C4178">
        <v>45500</v>
      </c>
      <c r="D4178">
        <v>70863</v>
      </c>
      <c r="E4178">
        <v>45500</v>
      </c>
      <c r="F4178">
        <v>45500</v>
      </c>
      <c r="G4178" s="1">
        <v>7.4999999999999997E-3</v>
      </c>
      <c r="H4178" s="1">
        <v>7.4999999999999997E-3</v>
      </c>
      <c r="I4178" s="1">
        <v>7.4999999999999997E-3</v>
      </c>
      <c r="J4178" s="1">
        <v>0.58660000000000001</v>
      </c>
    </row>
    <row r="4179" spans="1:10" x14ac:dyDescent="0.2">
      <c r="A4179" t="str">
        <f>"29/10/2009"</f>
        <v>29/10/2009</v>
      </c>
      <c r="B4179">
        <v>3</v>
      </c>
      <c r="C4179">
        <v>41000</v>
      </c>
      <c r="D4179">
        <v>58663</v>
      </c>
      <c r="E4179">
        <v>41000</v>
      </c>
      <c r="F4179">
        <v>41000</v>
      </c>
      <c r="G4179" s="1">
        <v>7.4999999999999997E-3</v>
      </c>
      <c r="H4179" s="1">
        <v>7.4999999999999997E-3</v>
      </c>
      <c r="I4179" s="1">
        <v>7.4999999999999997E-3</v>
      </c>
      <c r="J4179" s="1">
        <v>0.62490000000000001</v>
      </c>
    </row>
    <row r="4180" spans="1:10" x14ac:dyDescent="0.2">
      <c r="A4180" t="str">
        <f>"28/10/2009"</f>
        <v>28/10/2009</v>
      </c>
      <c r="B4180">
        <v>1</v>
      </c>
      <c r="C4180">
        <v>38500</v>
      </c>
      <c r="D4180">
        <v>36101</v>
      </c>
      <c r="E4180">
        <v>36101</v>
      </c>
      <c r="F4180">
        <v>36101</v>
      </c>
      <c r="G4180" s="1">
        <v>7.4999999999999997E-3</v>
      </c>
      <c r="H4180" s="1">
        <v>7.4000000000000003E-3</v>
      </c>
      <c r="I4180" s="1">
        <v>7.4000000000000003E-3</v>
      </c>
      <c r="J4180" s="1">
        <v>1</v>
      </c>
    </row>
    <row r="4181" spans="1:10" x14ac:dyDescent="0.2">
      <c r="A4181" t="str">
        <f>"27/10/2009"</f>
        <v>27/10/2009</v>
      </c>
      <c r="B4181">
        <v>1</v>
      </c>
      <c r="C4181">
        <v>36000</v>
      </c>
      <c r="D4181">
        <v>99815</v>
      </c>
      <c r="E4181">
        <v>36000</v>
      </c>
      <c r="F4181">
        <v>36000</v>
      </c>
      <c r="G4181" s="1">
        <v>7.4999999999999997E-3</v>
      </c>
      <c r="H4181" s="1">
        <v>7.4000000000000003E-3</v>
      </c>
      <c r="I4181" s="1">
        <v>7.4000000000000003E-3</v>
      </c>
      <c r="J4181" s="1">
        <v>0.23569999999999999</v>
      </c>
    </row>
    <row r="4182" spans="1:10" x14ac:dyDescent="0.2">
      <c r="A4182" t="str">
        <f>"26/10/2009"</f>
        <v>26/10/2009</v>
      </c>
      <c r="B4182">
        <v>1</v>
      </c>
      <c r="C4182">
        <v>35500</v>
      </c>
      <c r="D4182">
        <v>88462</v>
      </c>
      <c r="E4182">
        <v>35500</v>
      </c>
      <c r="F4182">
        <v>35500</v>
      </c>
      <c r="G4182" s="1">
        <v>7.4999999999999997E-3</v>
      </c>
      <c r="H4182" s="1">
        <v>7.4999999999999997E-3</v>
      </c>
      <c r="I4182" s="1">
        <v>7.4999999999999997E-3</v>
      </c>
      <c r="J4182" s="1">
        <v>0.2717</v>
      </c>
    </row>
    <row r="4183" spans="1:10" x14ac:dyDescent="0.2">
      <c r="A4183" t="str">
        <f>"25/10/2009"</f>
        <v>25/10/2009</v>
      </c>
      <c r="B4183">
        <v>1</v>
      </c>
      <c r="C4183">
        <v>35000</v>
      </c>
      <c r="D4183">
        <v>82148</v>
      </c>
      <c r="E4183">
        <v>35000</v>
      </c>
      <c r="F4183">
        <v>35000</v>
      </c>
      <c r="G4183" s="1">
        <v>7.4999999999999997E-3</v>
      </c>
      <c r="H4183" s="1">
        <v>7.4999999999999997E-3</v>
      </c>
      <c r="I4183" s="1">
        <v>7.4999999999999997E-3</v>
      </c>
      <c r="J4183" s="1">
        <v>0.30659999999999998</v>
      </c>
    </row>
    <row r="4184" spans="1:10" x14ac:dyDescent="0.2">
      <c r="A4184" t="str">
        <f>"22/10/2009"</f>
        <v>22/10/2009</v>
      </c>
      <c r="B4184">
        <v>3</v>
      </c>
      <c r="C4184">
        <v>35500</v>
      </c>
      <c r="D4184">
        <v>78174</v>
      </c>
      <c r="E4184">
        <v>35500</v>
      </c>
      <c r="F4184">
        <v>35500</v>
      </c>
      <c r="G4184" s="1">
        <v>7.4999999999999997E-3</v>
      </c>
      <c r="H4184" s="1">
        <v>7.4999999999999997E-3</v>
      </c>
      <c r="I4184" s="1">
        <v>7.4999999999999997E-3</v>
      </c>
      <c r="J4184" s="1">
        <v>0.39810000000000001</v>
      </c>
    </row>
    <row r="4185" spans="1:10" x14ac:dyDescent="0.2">
      <c r="A4185" t="str">
        <f>"21/10/2009"</f>
        <v>21/10/2009</v>
      </c>
      <c r="B4185">
        <v>1</v>
      </c>
      <c r="C4185">
        <v>38000</v>
      </c>
      <c r="D4185">
        <v>80431</v>
      </c>
      <c r="E4185">
        <v>38000</v>
      </c>
      <c r="F4185">
        <v>38000</v>
      </c>
      <c r="G4185" s="1">
        <v>7.4999999999999997E-3</v>
      </c>
      <c r="H4185" s="1">
        <v>7.4999999999999997E-3</v>
      </c>
      <c r="I4185" s="1">
        <v>7.4999999999999997E-3</v>
      </c>
      <c r="J4185" s="1">
        <v>0.42620000000000002</v>
      </c>
    </row>
    <row r="4186" spans="1:10" x14ac:dyDescent="0.2">
      <c r="A4186" t="str">
        <f>"20/10/2009"</f>
        <v>20/10/2009</v>
      </c>
      <c r="B4186">
        <v>1</v>
      </c>
      <c r="C4186">
        <v>36000</v>
      </c>
      <c r="D4186">
        <v>72277</v>
      </c>
      <c r="E4186">
        <v>36000</v>
      </c>
      <c r="F4186">
        <v>36000</v>
      </c>
      <c r="G4186" s="1">
        <v>7.4999999999999997E-3</v>
      </c>
      <c r="H4186" s="1">
        <v>7.4999999999999997E-3</v>
      </c>
      <c r="I4186" s="1">
        <v>7.4999999999999997E-3</v>
      </c>
      <c r="J4186" s="1">
        <v>0.45450000000000002</v>
      </c>
    </row>
    <row r="4187" spans="1:10" x14ac:dyDescent="0.2">
      <c r="A4187" t="str">
        <f>"19/10/2009"</f>
        <v>19/10/2009</v>
      </c>
      <c r="B4187">
        <v>1</v>
      </c>
      <c r="C4187">
        <v>37500</v>
      </c>
      <c r="D4187">
        <v>68985</v>
      </c>
      <c r="E4187">
        <v>37500</v>
      </c>
      <c r="F4187">
        <v>37500</v>
      </c>
      <c r="G4187" s="1">
        <v>7.4999999999999997E-3</v>
      </c>
      <c r="H4187" s="1">
        <v>7.4999999999999997E-3</v>
      </c>
      <c r="I4187" s="1">
        <v>7.4999999999999997E-3</v>
      </c>
      <c r="J4187" s="1">
        <v>0.503</v>
      </c>
    </row>
    <row r="4188" spans="1:10" x14ac:dyDescent="0.2">
      <c r="A4188" t="str">
        <f>"18/10/2009"</f>
        <v>18/10/2009</v>
      </c>
      <c r="B4188">
        <v>1</v>
      </c>
      <c r="C4188">
        <v>36000</v>
      </c>
      <c r="D4188">
        <v>65135</v>
      </c>
      <c r="E4188">
        <v>36000</v>
      </c>
      <c r="F4188">
        <v>36000</v>
      </c>
      <c r="G4188" s="1">
        <v>7.4999999999999997E-3</v>
      </c>
      <c r="H4188" s="1">
        <v>7.4999999999999997E-3</v>
      </c>
      <c r="I4188" s="1">
        <v>7.4999999999999997E-3</v>
      </c>
      <c r="J4188" s="1">
        <v>0.51200000000000001</v>
      </c>
    </row>
    <row r="4189" spans="1:10" x14ac:dyDescent="0.2">
      <c r="A4189" t="str">
        <f>"15/10/2009"</f>
        <v>15/10/2009</v>
      </c>
      <c r="B4189">
        <v>3</v>
      </c>
      <c r="C4189">
        <v>36000</v>
      </c>
      <c r="D4189">
        <v>62421</v>
      </c>
      <c r="E4189">
        <v>36000</v>
      </c>
      <c r="F4189">
        <v>36000</v>
      </c>
      <c r="G4189" s="1">
        <v>7.4999999999999997E-3</v>
      </c>
      <c r="H4189" s="1">
        <v>7.4999999999999997E-3</v>
      </c>
      <c r="I4189" s="1">
        <v>7.4999999999999997E-3</v>
      </c>
      <c r="J4189" s="1">
        <v>0.54449999999999998</v>
      </c>
    </row>
    <row r="4190" spans="1:10" x14ac:dyDescent="0.2">
      <c r="A4190" t="str">
        <f>"15/10/2009"</f>
        <v>15/10/2009</v>
      </c>
      <c r="B4190">
        <v>1</v>
      </c>
      <c r="C4190">
        <v>7500</v>
      </c>
      <c r="D4190">
        <v>12560</v>
      </c>
      <c r="E4190">
        <v>7500</v>
      </c>
      <c r="F4190">
        <v>7500</v>
      </c>
      <c r="G4190" s="1">
        <v>7.4999999999999997E-3</v>
      </c>
      <c r="H4190" s="1">
        <v>7.4999999999999997E-3</v>
      </c>
      <c r="I4190" s="1">
        <v>7.4999999999999997E-3</v>
      </c>
      <c r="J4190" s="1">
        <v>0.47620000000000001</v>
      </c>
    </row>
    <row r="4191" spans="1:10" x14ac:dyDescent="0.2">
      <c r="A4191" t="str">
        <f>"14/10/2009"</f>
        <v>14/10/2009</v>
      </c>
      <c r="B4191">
        <v>1</v>
      </c>
      <c r="C4191">
        <v>44500</v>
      </c>
      <c r="D4191">
        <v>61106</v>
      </c>
      <c r="E4191">
        <v>44500</v>
      </c>
      <c r="F4191">
        <v>44500</v>
      </c>
      <c r="G4191" s="1">
        <v>7.4999999999999997E-3</v>
      </c>
      <c r="H4191" s="1">
        <v>7.4999999999999997E-3</v>
      </c>
      <c r="I4191" s="1">
        <v>7.4999999999999997E-3</v>
      </c>
      <c r="J4191" s="1">
        <v>0.69569999999999999</v>
      </c>
    </row>
    <row r="4192" spans="1:10" x14ac:dyDescent="0.2">
      <c r="A4192" t="str">
        <f>"13/10/2009"</f>
        <v>13/10/2009</v>
      </c>
      <c r="B4192">
        <v>1</v>
      </c>
      <c r="C4192">
        <v>44500</v>
      </c>
      <c r="D4192">
        <v>69214</v>
      </c>
      <c r="E4192">
        <v>44500</v>
      </c>
      <c r="F4192">
        <v>44500</v>
      </c>
      <c r="G4192" s="1">
        <v>7.4999999999999997E-3</v>
      </c>
      <c r="H4192" s="1">
        <v>7.4999999999999997E-3</v>
      </c>
      <c r="I4192" s="1">
        <v>7.4999999999999997E-3</v>
      </c>
      <c r="J4192" s="1">
        <v>0.60570000000000002</v>
      </c>
    </row>
    <row r="4193" spans="1:10" x14ac:dyDescent="0.2">
      <c r="A4193" t="str">
        <f>"12/10/2009"</f>
        <v>12/10/2009</v>
      </c>
      <c r="B4193">
        <v>1</v>
      </c>
      <c r="C4193">
        <v>45500</v>
      </c>
      <c r="D4193">
        <v>67847</v>
      </c>
      <c r="E4193">
        <v>45500</v>
      </c>
      <c r="F4193">
        <v>45500</v>
      </c>
      <c r="G4193" s="1">
        <v>7.4999999999999997E-3</v>
      </c>
      <c r="H4193" s="1">
        <v>7.4999999999999997E-3</v>
      </c>
      <c r="I4193" s="1">
        <v>7.4999999999999997E-3</v>
      </c>
      <c r="J4193" s="1">
        <v>0.63560000000000005</v>
      </c>
    </row>
    <row r="4194" spans="1:10" x14ac:dyDescent="0.2">
      <c r="A4194" t="str">
        <f>"11/10/2009"</f>
        <v>11/10/2009</v>
      </c>
      <c r="B4194">
        <v>1</v>
      </c>
      <c r="C4194">
        <v>45500</v>
      </c>
      <c r="D4194">
        <v>70614</v>
      </c>
      <c r="E4194">
        <v>45500</v>
      </c>
      <c r="F4194">
        <v>45500</v>
      </c>
      <c r="G4194" s="1">
        <v>7.4999999999999997E-3</v>
      </c>
      <c r="H4194" s="1">
        <v>7.4999999999999997E-3</v>
      </c>
      <c r="I4194" s="1">
        <v>7.4999999999999997E-3</v>
      </c>
      <c r="J4194" s="1">
        <v>0.6048</v>
      </c>
    </row>
    <row r="4195" spans="1:10" x14ac:dyDescent="0.2">
      <c r="A4195" t="str">
        <f>"08/10/2009"</f>
        <v>08/10/2009</v>
      </c>
      <c r="B4195">
        <v>3</v>
      </c>
      <c r="C4195">
        <v>46000</v>
      </c>
      <c r="D4195">
        <v>77670</v>
      </c>
      <c r="E4195">
        <v>46000</v>
      </c>
      <c r="F4195">
        <v>46000</v>
      </c>
      <c r="G4195" s="1">
        <v>7.4999999999999997E-3</v>
      </c>
      <c r="H4195" s="1">
        <v>7.4999999999999997E-3</v>
      </c>
      <c r="I4195" s="1">
        <v>7.4999999999999997E-3</v>
      </c>
      <c r="J4195" s="1">
        <v>0.55859999999999999</v>
      </c>
    </row>
    <row r="4196" spans="1:10" x14ac:dyDescent="0.2">
      <c r="A4196" t="str">
        <f>"07/10/2009"</f>
        <v>07/10/2009</v>
      </c>
      <c r="B4196">
        <v>1</v>
      </c>
      <c r="C4196">
        <v>45000</v>
      </c>
      <c r="D4196">
        <v>70270</v>
      </c>
      <c r="E4196">
        <v>45000</v>
      </c>
      <c r="F4196">
        <v>45000</v>
      </c>
      <c r="G4196" s="1">
        <v>7.4999999999999997E-3</v>
      </c>
      <c r="H4196" s="1">
        <v>7.4999999999999997E-3</v>
      </c>
      <c r="I4196" s="1">
        <v>7.4999999999999997E-3</v>
      </c>
      <c r="J4196" s="1">
        <v>0.61240000000000006</v>
      </c>
    </row>
    <row r="4197" spans="1:10" x14ac:dyDescent="0.2">
      <c r="A4197" t="str">
        <f>"06/10/2009"</f>
        <v>06/10/2009</v>
      </c>
      <c r="B4197">
        <v>1</v>
      </c>
      <c r="C4197">
        <v>45500</v>
      </c>
      <c r="D4197">
        <v>79287</v>
      </c>
      <c r="E4197">
        <v>45500</v>
      </c>
      <c r="F4197">
        <v>45500</v>
      </c>
      <c r="G4197" s="1">
        <v>7.4999999999999997E-3</v>
      </c>
      <c r="H4197" s="1">
        <v>7.4999999999999997E-3</v>
      </c>
      <c r="I4197" s="1">
        <v>7.4999999999999997E-3</v>
      </c>
      <c r="J4197" s="1">
        <v>0.54590000000000005</v>
      </c>
    </row>
    <row r="4198" spans="1:10" x14ac:dyDescent="0.2">
      <c r="A4198" t="str">
        <f>"05/10/2009"</f>
        <v>05/10/2009</v>
      </c>
      <c r="B4198">
        <v>1</v>
      </c>
      <c r="C4198">
        <v>43500</v>
      </c>
      <c r="D4198">
        <v>74975</v>
      </c>
      <c r="E4198">
        <v>43500</v>
      </c>
      <c r="F4198">
        <v>43500</v>
      </c>
      <c r="G4198" s="1">
        <v>7.4999999999999997E-3</v>
      </c>
      <c r="H4198" s="1">
        <v>7.4999999999999997E-3</v>
      </c>
      <c r="I4198" s="1">
        <v>7.4999999999999997E-3</v>
      </c>
      <c r="J4198" s="1">
        <v>0.55700000000000005</v>
      </c>
    </row>
    <row r="4199" spans="1:10" x14ac:dyDescent="0.2">
      <c r="A4199" t="str">
        <f>"04/10/2009"</f>
        <v>04/10/2009</v>
      </c>
      <c r="B4199">
        <v>1</v>
      </c>
      <c r="C4199">
        <v>43500</v>
      </c>
      <c r="D4199">
        <v>71828</v>
      </c>
      <c r="E4199">
        <v>43500</v>
      </c>
      <c r="F4199">
        <v>43500</v>
      </c>
      <c r="G4199" s="1">
        <v>7.4999999999999997E-3</v>
      </c>
      <c r="H4199" s="1">
        <v>7.4999999999999997E-3</v>
      </c>
      <c r="I4199" s="1">
        <v>7.4999999999999997E-3</v>
      </c>
      <c r="J4199" s="1">
        <v>0.57499999999999996</v>
      </c>
    </row>
    <row r="4200" spans="1:10" x14ac:dyDescent="0.2">
      <c r="A4200" t="str">
        <f>"01/10/2009"</f>
        <v>01/10/2009</v>
      </c>
      <c r="B4200">
        <v>3</v>
      </c>
      <c r="C4200">
        <v>42500</v>
      </c>
      <c r="D4200">
        <v>71525</v>
      </c>
      <c r="E4200">
        <v>42500</v>
      </c>
      <c r="F4200">
        <v>42500</v>
      </c>
      <c r="G4200" s="1">
        <v>7.4999999999999997E-3</v>
      </c>
      <c r="H4200" s="1">
        <v>7.4999999999999997E-3</v>
      </c>
      <c r="I4200" s="1">
        <v>7.4999999999999997E-3</v>
      </c>
      <c r="J4200" s="1">
        <v>0.55069999999999997</v>
      </c>
    </row>
    <row r="4201" spans="1:10" x14ac:dyDescent="0.2">
      <c r="A4201" t="str">
        <f>"30/09/2009"</f>
        <v>30/09/2009</v>
      </c>
      <c r="B4201">
        <v>1</v>
      </c>
      <c r="C4201">
        <v>37500</v>
      </c>
      <c r="D4201">
        <v>38066</v>
      </c>
      <c r="E4201">
        <v>37500</v>
      </c>
      <c r="F4201">
        <v>37500</v>
      </c>
      <c r="G4201" s="1">
        <v>7.4999999999999997E-3</v>
      </c>
      <c r="H4201" s="1">
        <v>7.4000000000000003E-3</v>
      </c>
      <c r="I4201" s="1">
        <v>7.4000000000000003E-3</v>
      </c>
      <c r="J4201" s="1">
        <v>0.97309999999999997</v>
      </c>
    </row>
    <row r="4202" spans="1:10" x14ac:dyDescent="0.2">
      <c r="A4202" t="str">
        <f>"29/09/2009"</f>
        <v>29/09/2009</v>
      </c>
      <c r="B4202">
        <v>1</v>
      </c>
      <c r="C4202">
        <v>39500</v>
      </c>
      <c r="D4202">
        <v>85159</v>
      </c>
      <c r="E4202">
        <v>39500</v>
      </c>
      <c r="F4202">
        <v>39500</v>
      </c>
      <c r="G4202" s="1">
        <v>7.4999999999999997E-3</v>
      </c>
      <c r="H4202" s="1">
        <v>7.4999999999999997E-3</v>
      </c>
      <c r="I4202" s="1">
        <v>7.4999999999999997E-3</v>
      </c>
      <c r="J4202" s="1">
        <v>0.33660000000000001</v>
      </c>
    </row>
    <row r="4203" spans="1:10" x14ac:dyDescent="0.2">
      <c r="A4203" t="str">
        <f>"24/09/2009"</f>
        <v>24/09/2009</v>
      </c>
      <c r="B4203">
        <v>5</v>
      </c>
      <c r="C4203">
        <v>34000</v>
      </c>
      <c r="D4203">
        <v>75537</v>
      </c>
      <c r="E4203">
        <v>34000</v>
      </c>
      <c r="F4203">
        <v>34000</v>
      </c>
      <c r="G4203" s="1">
        <v>7.4999999999999997E-3</v>
      </c>
      <c r="H4203" s="1">
        <v>7.4999999999999997E-3</v>
      </c>
      <c r="I4203" s="1">
        <v>7.4999999999999997E-3</v>
      </c>
      <c r="J4203" s="1">
        <v>0.35260000000000002</v>
      </c>
    </row>
    <row r="4204" spans="1:10" x14ac:dyDescent="0.2">
      <c r="A4204" t="str">
        <f>"23/09/2009"</f>
        <v>23/09/2009</v>
      </c>
      <c r="B4204">
        <v>1</v>
      </c>
      <c r="C4204">
        <v>34000</v>
      </c>
      <c r="D4204">
        <v>71403</v>
      </c>
      <c r="E4204">
        <v>34000</v>
      </c>
      <c r="F4204">
        <v>34000</v>
      </c>
      <c r="G4204" s="1">
        <v>7.4999999999999997E-3</v>
      </c>
      <c r="H4204" s="1">
        <v>7.4999999999999997E-3</v>
      </c>
      <c r="I4204" s="1">
        <v>7.4999999999999997E-3</v>
      </c>
      <c r="J4204" s="1">
        <v>0.37740000000000001</v>
      </c>
    </row>
    <row r="4205" spans="1:10" x14ac:dyDescent="0.2">
      <c r="A4205" t="str">
        <f>"22/09/2009"</f>
        <v>22/09/2009</v>
      </c>
      <c r="B4205">
        <v>1</v>
      </c>
      <c r="C4205">
        <v>34000</v>
      </c>
      <c r="D4205">
        <v>69936</v>
      </c>
      <c r="E4205">
        <v>34000</v>
      </c>
      <c r="F4205">
        <v>34000</v>
      </c>
      <c r="G4205" s="1">
        <v>7.4999999999999997E-3</v>
      </c>
      <c r="H4205" s="1">
        <v>7.4999999999999997E-3</v>
      </c>
      <c r="I4205" s="1">
        <v>7.4999999999999997E-3</v>
      </c>
      <c r="J4205" s="1">
        <v>0.41710000000000003</v>
      </c>
    </row>
    <row r="4206" spans="1:10" x14ac:dyDescent="0.2">
      <c r="A4206" t="str">
        <f>"21/09/2009"</f>
        <v>21/09/2009</v>
      </c>
      <c r="B4206">
        <v>1</v>
      </c>
      <c r="C4206">
        <v>36500</v>
      </c>
      <c r="D4206">
        <v>65376</v>
      </c>
      <c r="E4206">
        <v>36500</v>
      </c>
      <c r="F4206">
        <v>36500</v>
      </c>
      <c r="G4206" s="1">
        <v>7.4999999999999997E-3</v>
      </c>
      <c r="H4206" s="1">
        <v>7.4999999999999997E-3</v>
      </c>
      <c r="I4206" s="1">
        <v>7.4999999999999997E-3</v>
      </c>
      <c r="J4206" s="1">
        <v>0.49340000000000001</v>
      </c>
    </row>
    <row r="4207" spans="1:10" x14ac:dyDescent="0.2">
      <c r="A4207" t="str">
        <f>"17/09/2009"</f>
        <v>17/09/2009</v>
      </c>
      <c r="B4207">
        <v>4</v>
      </c>
      <c r="C4207">
        <v>37000</v>
      </c>
      <c r="D4207">
        <v>69765</v>
      </c>
      <c r="E4207">
        <v>37000</v>
      </c>
      <c r="F4207">
        <v>37000</v>
      </c>
      <c r="G4207" s="1">
        <v>7.4999999999999997E-3</v>
      </c>
      <c r="H4207" s="1">
        <v>7.4999999999999997E-3</v>
      </c>
      <c r="I4207" s="1">
        <v>7.4999999999999997E-3</v>
      </c>
      <c r="J4207" s="1">
        <v>0.48320000000000002</v>
      </c>
    </row>
    <row r="4208" spans="1:10" x14ac:dyDescent="0.2">
      <c r="A4208" t="str">
        <f>"16/09/2009"</f>
        <v>16/09/2009</v>
      </c>
      <c r="B4208">
        <v>1</v>
      </c>
      <c r="C4208">
        <v>35500</v>
      </c>
      <c r="D4208">
        <v>63584</v>
      </c>
      <c r="E4208">
        <v>35500</v>
      </c>
      <c r="F4208">
        <v>35500</v>
      </c>
      <c r="G4208" s="1">
        <v>7.4999999999999997E-3</v>
      </c>
      <c r="H4208" s="1">
        <v>7.4999999999999997E-3</v>
      </c>
      <c r="I4208" s="1">
        <v>7.4999999999999997E-3</v>
      </c>
      <c r="J4208" s="1">
        <v>0.5141</v>
      </c>
    </row>
    <row r="4209" spans="1:10" x14ac:dyDescent="0.2">
      <c r="A4209" t="str">
        <f>"15/09/2009"</f>
        <v>15/09/2009</v>
      </c>
      <c r="B4209">
        <v>1</v>
      </c>
      <c r="C4209">
        <v>44000</v>
      </c>
      <c r="D4209">
        <v>76955</v>
      </c>
      <c r="E4209">
        <v>44000</v>
      </c>
      <c r="F4209">
        <v>44000</v>
      </c>
      <c r="G4209" s="1">
        <v>7.4999999999999997E-3</v>
      </c>
      <c r="H4209" s="1">
        <v>7.4999999999999997E-3</v>
      </c>
      <c r="I4209" s="1">
        <v>7.4999999999999997E-3</v>
      </c>
      <c r="J4209" s="1">
        <v>0.52749999999999997</v>
      </c>
    </row>
    <row r="4210" spans="1:10" x14ac:dyDescent="0.2">
      <c r="A4210" t="str">
        <f>"14/09/2009"</f>
        <v>14/09/2009</v>
      </c>
      <c r="B4210">
        <v>1</v>
      </c>
      <c r="C4210">
        <v>47000</v>
      </c>
      <c r="D4210">
        <v>78046</v>
      </c>
      <c r="E4210">
        <v>47000</v>
      </c>
      <c r="F4210">
        <v>47000</v>
      </c>
      <c r="G4210" s="1">
        <v>7.4999999999999997E-3</v>
      </c>
      <c r="H4210" s="1">
        <v>7.4999999999999997E-3</v>
      </c>
      <c r="I4210" s="1">
        <v>7.4999999999999997E-3</v>
      </c>
      <c r="J4210" s="1">
        <v>0.5625</v>
      </c>
    </row>
    <row r="4211" spans="1:10" x14ac:dyDescent="0.2">
      <c r="A4211" t="str">
        <f>"13/09/2009"</f>
        <v>13/09/2009</v>
      </c>
      <c r="B4211">
        <v>1</v>
      </c>
      <c r="C4211">
        <v>47000</v>
      </c>
      <c r="D4211">
        <v>76444</v>
      </c>
      <c r="E4211">
        <v>47000</v>
      </c>
      <c r="F4211">
        <v>47000</v>
      </c>
      <c r="G4211" s="1">
        <v>7.4999999999999997E-3</v>
      </c>
      <c r="H4211" s="1">
        <v>7.4999999999999997E-3</v>
      </c>
      <c r="I4211" s="1">
        <v>7.4999999999999997E-3</v>
      </c>
      <c r="J4211" s="1">
        <v>0.56810000000000005</v>
      </c>
    </row>
    <row r="4212" spans="1:10" x14ac:dyDescent="0.2">
      <c r="A4212" t="str">
        <f>"10/09/2009"</f>
        <v>10/09/2009</v>
      </c>
      <c r="B4212">
        <v>3</v>
      </c>
      <c r="C4212">
        <v>46500</v>
      </c>
      <c r="D4212">
        <v>77895</v>
      </c>
      <c r="E4212">
        <v>46500</v>
      </c>
      <c r="F4212">
        <v>46500</v>
      </c>
      <c r="G4212" s="1">
        <v>7.4999999999999997E-3</v>
      </c>
      <c r="H4212" s="1">
        <v>7.4999999999999997E-3</v>
      </c>
      <c r="I4212" s="1">
        <v>7.4999999999999997E-3</v>
      </c>
      <c r="J4212" s="1">
        <v>0.56759999999999999</v>
      </c>
    </row>
    <row r="4213" spans="1:10" x14ac:dyDescent="0.2">
      <c r="A4213" t="str">
        <f>"09/09/2009"</f>
        <v>09/09/2009</v>
      </c>
      <c r="B4213">
        <v>1</v>
      </c>
      <c r="C4213">
        <v>41000</v>
      </c>
      <c r="D4213">
        <v>70838</v>
      </c>
      <c r="E4213">
        <v>41000</v>
      </c>
      <c r="F4213">
        <v>41000</v>
      </c>
      <c r="G4213" s="1">
        <v>7.4999999999999997E-3</v>
      </c>
      <c r="H4213" s="1">
        <v>7.4999999999999997E-3</v>
      </c>
      <c r="I4213" s="1">
        <v>7.4999999999999997E-3</v>
      </c>
      <c r="J4213" s="1">
        <v>0.55210000000000004</v>
      </c>
    </row>
    <row r="4214" spans="1:10" x14ac:dyDescent="0.2">
      <c r="A4214" t="str">
        <f>"08/09/2009"</f>
        <v>08/09/2009</v>
      </c>
      <c r="B4214">
        <v>1</v>
      </c>
      <c r="C4214">
        <v>41000</v>
      </c>
      <c r="D4214">
        <v>66128</v>
      </c>
      <c r="E4214">
        <v>41000</v>
      </c>
      <c r="F4214">
        <v>41000</v>
      </c>
      <c r="G4214" s="1">
        <v>7.4999999999999997E-3</v>
      </c>
      <c r="H4214" s="1">
        <v>7.4999999999999997E-3</v>
      </c>
      <c r="I4214" s="1">
        <v>7.4999999999999997E-3</v>
      </c>
      <c r="J4214" s="1">
        <v>0.58579999999999999</v>
      </c>
    </row>
    <row r="4215" spans="1:10" x14ac:dyDescent="0.2">
      <c r="A4215" t="str">
        <f>"07/09/2009"</f>
        <v>07/09/2009</v>
      </c>
      <c r="B4215">
        <v>1</v>
      </c>
      <c r="C4215">
        <v>41500</v>
      </c>
      <c r="D4215">
        <v>64664</v>
      </c>
      <c r="E4215">
        <v>41500</v>
      </c>
      <c r="F4215">
        <v>41500</v>
      </c>
      <c r="G4215" s="1">
        <v>7.4999999999999997E-3</v>
      </c>
      <c r="H4215" s="1">
        <v>7.4999999999999997E-3</v>
      </c>
      <c r="I4215" s="1">
        <v>7.4999999999999997E-3</v>
      </c>
      <c r="J4215" s="1">
        <v>0.6139</v>
      </c>
    </row>
    <row r="4216" spans="1:10" x14ac:dyDescent="0.2">
      <c r="A4216" t="str">
        <f>"06/09/2009"</f>
        <v>06/09/2009</v>
      </c>
      <c r="B4216">
        <v>1</v>
      </c>
      <c r="C4216">
        <v>41500</v>
      </c>
      <c r="D4216">
        <v>66684</v>
      </c>
      <c r="E4216">
        <v>41500</v>
      </c>
      <c r="F4216">
        <v>41500</v>
      </c>
      <c r="G4216" s="1">
        <v>7.4999999999999997E-3</v>
      </c>
      <c r="H4216" s="1">
        <v>7.4999999999999997E-3</v>
      </c>
      <c r="I4216" s="1">
        <v>7.4999999999999997E-3</v>
      </c>
      <c r="J4216" s="1">
        <v>0.59640000000000004</v>
      </c>
    </row>
    <row r="4217" spans="1:10" x14ac:dyDescent="0.2">
      <c r="A4217" t="str">
        <f>"03/09/2009"</f>
        <v>03/09/2009</v>
      </c>
      <c r="B4217">
        <v>3</v>
      </c>
      <c r="C4217">
        <v>42000</v>
      </c>
      <c r="D4217">
        <v>67004</v>
      </c>
      <c r="E4217">
        <v>42000</v>
      </c>
      <c r="F4217">
        <v>42000</v>
      </c>
      <c r="G4217" s="1">
        <v>7.4999999999999997E-3</v>
      </c>
      <c r="H4217" s="1">
        <v>7.4999999999999997E-3</v>
      </c>
      <c r="I4217" s="1">
        <v>7.4999999999999997E-3</v>
      </c>
      <c r="J4217" s="1">
        <v>0.60389999999999999</v>
      </c>
    </row>
    <row r="4218" spans="1:10" x14ac:dyDescent="0.2">
      <c r="A4218" t="str">
        <f>"02/09/2009"</f>
        <v>02/09/2009</v>
      </c>
      <c r="B4218">
        <v>1</v>
      </c>
      <c r="C4218">
        <v>43000</v>
      </c>
      <c r="D4218">
        <v>67162</v>
      </c>
      <c r="E4218">
        <v>43000</v>
      </c>
      <c r="F4218">
        <v>43000</v>
      </c>
      <c r="G4218" s="1">
        <v>7.4999999999999997E-3</v>
      </c>
      <c r="H4218" s="1">
        <v>7.4999999999999997E-3</v>
      </c>
      <c r="I4218" s="1">
        <v>7.4999999999999997E-3</v>
      </c>
      <c r="J4218" s="1">
        <v>0.60729999999999995</v>
      </c>
    </row>
    <row r="4219" spans="1:10" x14ac:dyDescent="0.2">
      <c r="A4219" t="str">
        <f>"01/09/2009"</f>
        <v>01/09/2009</v>
      </c>
      <c r="B4219">
        <v>1</v>
      </c>
      <c r="C4219">
        <v>42500</v>
      </c>
      <c r="D4219">
        <v>68255</v>
      </c>
      <c r="E4219">
        <v>42500</v>
      </c>
      <c r="F4219">
        <v>42500</v>
      </c>
      <c r="G4219" s="1">
        <v>7.4999999999999997E-3</v>
      </c>
      <c r="H4219" s="1">
        <v>7.4000000000000003E-3</v>
      </c>
      <c r="I4219" s="1">
        <v>7.4000000000000003E-3</v>
      </c>
      <c r="J4219" s="1">
        <v>0.5907</v>
      </c>
    </row>
    <row r="4220" spans="1:10" x14ac:dyDescent="0.2">
      <c r="A4220" t="str">
        <f>"31/08/2009"</f>
        <v>31/08/2009</v>
      </c>
      <c r="B4220">
        <v>1</v>
      </c>
      <c r="C4220">
        <v>38500</v>
      </c>
      <c r="D4220">
        <v>56685</v>
      </c>
      <c r="E4220">
        <v>38500</v>
      </c>
      <c r="F4220">
        <v>38500</v>
      </c>
      <c r="G4220" s="1">
        <v>7.4999999999999997E-3</v>
      </c>
      <c r="H4220" s="1">
        <v>7.1999999999999998E-3</v>
      </c>
      <c r="I4220" s="1">
        <v>7.1999999999999998E-3</v>
      </c>
      <c r="J4220" s="1">
        <v>0.63880000000000003</v>
      </c>
    </row>
    <row r="4221" spans="1:10" x14ac:dyDescent="0.2">
      <c r="A4221" t="str">
        <f>"30/08/2009"</f>
        <v>30/08/2009</v>
      </c>
      <c r="B4221">
        <v>1</v>
      </c>
      <c r="C4221">
        <v>37000</v>
      </c>
      <c r="D4221">
        <v>56184</v>
      </c>
      <c r="E4221">
        <v>37000</v>
      </c>
      <c r="F4221">
        <v>37000</v>
      </c>
      <c r="G4221" s="1">
        <v>7.4999999999999997E-3</v>
      </c>
      <c r="H4221" s="1">
        <v>7.4999999999999997E-3</v>
      </c>
      <c r="I4221" s="1">
        <v>7.4999999999999997E-3</v>
      </c>
      <c r="J4221" s="1">
        <v>0.62760000000000005</v>
      </c>
    </row>
    <row r="4222" spans="1:10" x14ac:dyDescent="0.2">
      <c r="A4222" t="str">
        <f>"27/08/2009"</f>
        <v>27/08/2009</v>
      </c>
      <c r="B4222">
        <v>3</v>
      </c>
      <c r="C4222">
        <v>36500</v>
      </c>
      <c r="D4222">
        <v>54918</v>
      </c>
      <c r="E4222">
        <v>36500</v>
      </c>
      <c r="F4222">
        <v>36500</v>
      </c>
      <c r="G4222" s="1">
        <v>7.4999999999999997E-3</v>
      </c>
      <c r="H4222" s="1">
        <v>7.4999999999999997E-3</v>
      </c>
      <c r="I4222" s="1">
        <v>7.4999999999999997E-3</v>
      </c>
      <c r="J4222" s="1">
        <v>0.63160000000000005</v>
      </c>
    </row>
    <row r="4223" spans="1:10" x14ac:dyDescent="0.2">
      <c r="A4223" t="str">
        <f>"26/08/2009"</f>
        <v>26/08/2009</v>
      </c>
      <c r="B4223">
        <v>1</v>
      </c>
      <c r="C4223">
        <v>30000</v>
      </c>
      <c r="D4223">
        <v>28881</v>
      </c>
      <c r="E4223">
        <v>28881</v>
      </c>
      <c r="F4223">
        <v>28881</v>
      </c>
      <c r="G4223" s="1">
        <v>5.0000000000000001E-3</v>
      </c>
      <c r="H4223" s="1">
        <v>4.8999999999999998E-3</v>
      </c>
      <c r="I4223" s="1">
        <v>4.8999999999999998E-3</v>
      </c>
      <c r="J4223" s="1">
        <v>1</v>
      </c>
    </row>
    <row r="4224" spans="1:10" x14ac:dyDescent="0.2">
      <c r="A4224" t="str">
        <f>"25/08/2009"</f>
        <v>25/08/2009</v>
      </c>
      <c r="B4224">
        <v>1</v>
      </c>
      <c r="C4224">
        <v>29000</v>
      </c>
      <c r="D4224">
        <v>56326</v>
      </c>
      <c r="E4224">
        <v>29000</v>
      </c>
      <c r="F4224">
        <v>29000</v>
      </c>
      <c r="G4224" s="1">
        <v>5.0000000000000001E-3</v>
      </c>
      <c r="H4224" s="1">
        <v>5.0000000000000001E-3</v>
      </c>
      <c r="I4224" s="1">
        <v>5.0000000000000001E-3</v>
      </c>
      <c r="J4224" s="1">
        <v>0.44779999999999998</v>
      </c>
    </row>
    <row r="4225" spans="1:10" x14ac:dyDescent="0.2">
      <c r="A4225" t="str">
        <f>"24/08/2009"</f>
        <v>24/08/2009</v>
      </c>
      <c r="B4225">
        <v>1</v>
      </c>
      <c r="C4225">
        <v>30500</v>
      </c>
      <c r="D4225">
        <v>55574</v>
      </c>
      <c r="E4225">
        <v>30500</v>
      </c>
      <c r="F4225">
        <v>30500</v>
      </c>
      <c r="G4225" s="1">
        <v>5.0000000000000001E-3</v>
      </c>
      <c r="H4225" s="1">
        <v>5.0000000000000001E-3</v>
      </c>
      <c r="I4225" s="1">
        <v>5.0000000000000001E-3</v>
      </c>
      <c r="J4225" s="1">
        <v>0.46329999999999999</v>
      </c>
    </row>
    <row r="4226" spans="1:10" x14ac:dyDescent="0.2">
      <c r="A4226" t="str">
        <f>"23/08/2009"</f>
        <v>23/08/2009</v>
      </c>
      <c r="B4226">
        <v>1</v>
      </c>
      <c r="C4226">
        <v>30500</v>
      </c>
      <c r="D4226">
        <v>54261</v>
      </c>
      <c r="E4226">
        <v>30500</v>
      </c>
      <c r="F4226">
        <v>30500</v>
      </c>
      <c r="G4226" s="1">
        <v>5.0000000000000001E-3</v>
      </c>
      <c r="H4226" s="1">
        <v>5.0000000000000001E-3</v>
      </c>
      <c r="I4226" s="1">
        <v>5.0000000000000001E-3</v>
      </c>
      <c r="J4226" s="1">
        <v>0.50919999999999999</v>
      </c>
    </row>
    <row r="4227" spans="1:10" x14ac:dyDescent="0.2">
      <c r="A4227" t="str">
        <f>"20/08/2009"</f>
        <v>20/08/2009</v>
      </c>
      <c r="B4227">
        <v>3</v>
      </c>
      <c r="C4227">
        <v>33500</v>
      </c>
      <c r="D4227">
        <v>55633</v>
      </c>
      <c r="E4227">
        <v>33500</v>
      </c>
      <c r="F4227">
        <v>33500</v>
      </c>
      <c r="G4227" s="1">
        <v>5.0000000000000001E-3</v>
      </c>
      <c r="H4227" s="1">
        <v>5.0000000000000001E-3</v>
      </c>
      <c r="I4227" s="1">
        <v>5.0000000000000001E-3</v>
      </c>
      <c r="J4227" s="1">
        <v>0.55879999999999996</v>
      </c>
    </row>
    <row r="4228" spans="1:10" x14ac:dyDescent="0.2">
      <c r="A4228" t="str">
        <f>"19/08/2009"</f>
        <v>19/08/2009</v>
      </c>
      <c r="B4228">
        <v>1</v>
      </c>
      <c r="C4228">
        <v>30000</v>
      </c>
      <c r="D4228">
        <v>55761</v>
      </c>
      <c r="E4228">
        <v>30000</v>
      </c>
      <c r="F4228">
        <v>30000</v>
      </c>
      <c r="G4228" s="1">
        <v>5.0000000000000001E-3</v>
      </c>
      <c r="H4228" s="1">
        <v>5.0000000000000001E-3</v>
      </c>
      <c r="I4228" s="1">
        <v>5.0000000000000001E-3</v>
      </c>
      <c r="J4228" s="1">
        <v>0.47960000000000003</v>
      </c>
    </row>
    <row r="4229" spans="1:10" x14ac:dyDescent="0.2">
      <c r="A4229" t="str">
        <f>"18/08/2009"</f>
        <v>18/08/2009</v>
      </c>
      <c r="B4229">
        <v>1</v>
      </c>
      <c r="C4229">
        <v>30000</v>
      </c>
      <c r="D4229">
        <v>51060</v>
      </c>
      <c r="E4229">
        <v>30000</v>
      </c>
      <c r="F4229">
        <v>30000</v>
      </c>
      <c r="G4229" s="1">
        <v>5.0000000000000001E-3</v>
      </c>
      <c r="H4229" s="1">
        <v>5.0000000000000001E-3</v>
      </c>
      <c r="I4229" s="1">
        <v>5.0000000000000001E-3</v>
      </c>
      <c r="J4229" s="1">
        <v>0.54679999999999995</v>
      </c>
    </row>
    <row r="4230" spans="1:10" x14ac:dyDescent="0.2">
      <c r="A4230" t="str">
        <f>"17/08/2009"</f>
        <v>17/08/2009</v>
      </c>
      <c r="B4230">
        <v>1</v>
      </c>
      <c r="C4230">
        <v>31000</v>
      </c>
      <c r="D4230">
        <v>51510</v>
      </c>
      <c r="E4230">
        <v>31000</v>
      </c>
      <c r="F4230">
        <v>31000</v>
      </c>
      <c r="G4230" s="1">
        <v>5.0000000000000001E-3</v>
      </c>
      <c r="H4230" s="1">
        <v>5.0000000000000001E-3</v>
      </c>
      <c r="I4230" s="1">
        <v>5.0000000000000001E-3</v>
      </c>
      <c r="J4230" s="1">
        <v>0.56640000000000001</v>
      </c>
    </row>
    <row r="4231" spans="1:10" x14ac:dyDescent="0.2">
      <c r="A4231" t="str">
        <f>"16/08/2009"</f>
        <v>16/08/2009</v>
      </c>
      <c r="B4231">
        <v>1</v>
      </c>
      <c r="C4231">
        <v>36000</v>
      </c>
      <c r="D4231">
        <v>55525</v>
      </c>
      <c r="E4231">
        <v>36000</v>
      </c>
      <c r="F4231">
        <v>36000</v>
      </c>
      <c r="G4231" s="1">
        <v>5.0000000000000001E-3</v>
      </c>
      <c r="H4231" s="1">
        <v>5.0000000000000001E-3</v>
      </c>
      <c r="I4231" s="1">
        <v>5.0000000000000001E-3</v>
      </c>
      <c r="J4231" s="1">
        <v>0.61509999999999998</v>
      </c>
    </row>
    <row r="4232" spans="1:10" x14ac:dyDescent="0.2">
      <c r="A4232" t="str">
        <f>"13/08/2009"</f>
        <v>13/08/2009</v>
      </c>
      <c r="B4232">
        <v>3</v>
      </c>
      <c r="C4232">
        <v>39500</v>
      </c>
      <c r="D4232">
        <v>56903</v>
      </c>
      <c r="E4232">
        <v>39500</v>
      </c>
      <c r="F4232">
        <v>39500</v>
      </c>
      <c r="G4232" s="1">
        <v>5.0000000000000001E-3</v>
      </c>
      <c r="H4232" s="1">
        <v>5.0000000000000001E-3</v>
      </c>
      <c r="I4232" s="1">
        <v>5.0000000000000001E-3</v>
      </c>
      <c r="J4232" s="1">
        <v>0.67300000000000004</v>
      </c>
    </row>
    <row r="4233" spans="1:10" x14ac:dyDescent="0.2">
      <c r="A4233" t="str">
        <f>"12/08/2009"</f>
        <v>12/08/2009</v>
      </c>
      <c r="B4233">
        <v>1</v>
      </c>
      <c r="C4233">
        <v>39500</v>
      </c>
      <c r="D4233">
        <v>60720</v>
      </c>
      <c r="E4233">
        <v>39500</v>
      </c>
      <c r="F4233">
        <v>39500</v>
      </c>
      <c r="G4233" s="1">
        <v>5.0000000000000001E-3</v>
      </c>
      <c r="H4233" s="1">
        <v>5.0000000000000001E-3</v>
      </c>
      <c r="I4233" s="1">
        <v>5.0000000000000001E-3</v>
      </c>
      <c r="J4233" s="1">
        <v>0.62460000000000004</v>
      </c>
    </row>
    <row r="4234" spans="1:10" x14ac:dyDescent="0.2">
      <c r="A4234" t="str">
        <f>"11/08/2009"</f>
        <v>11/08/2009</v>
      </c>
      <c r="B4234">
        <v>1</v>
      </c>
      <c r="C4234">
        <v>37500</v>
      </c>
      <c r="D4234">
        <v>55587</v>
      </c>
      <c r="E4234">
        <v>37500</v>
      </c>
      <c r="F4234">
        <v>37500</v>
      </c>
      <c r="G4234" s="1">
        <v>5.0000000000000001E-3</v>
      </c>
      <c r="H4234" s="1">
        <v>5.0000000000000001E-3</v>
      </c>
      <c r="I4234" s="1">
        <v>5.0000000000000001E-3</v>
      </c>
      <c r="J4234" s="1">
        <v>0.65080000000000005</v>
      </c>
    </row>
    <row r="4235" spans="1:10" x14ac:dyDescent="0.2">
      <c r="A4235" t="str">
        <f>"10/08/2009"</f>
        <v>10/08/2009</v>
      </c>
      <c r="B4235">
        <v>1</v>
      </c>
      <c r="C4235">
        <v>38500</v>
      </c>
      <c r="D4235">
        <v>53010</v>
      </c>
      <c r="E4235">
        <v>38500</v>
      </c>
      <c r="F4235">
        <v>38500</v>
      </c>
      <c r="G4235" s="1">
        <v>5.0000000000000001E-3</v>
      </c>
      <c r="H4235" s="1">
        <v>5.0000000000000001E-3</v>
      </c>
      <c r="I4235" s="1">
        <v>5.0000000000000001E-3</v>
      </c>
      <c r="J4235" s="1">
        <v>0.70120000000000005</v>
      </c>
    </row>
    <row r="4236" spans="1:10" x14ac:dyDescent="0.2">
      <c r="A4236" t="str">
        <f>"09/08/2009"</f>
        <v>09/08/2009</v>
      </c>
      <c r="B4236">
        <v>1</v>
      </c>
      <c r="C4236">
        <v>37000</v>
      </c>
      <c r="D4236">
        <v>50160</v>
      </c>
      <c r="E4236">
        <v>37000</v>
      </c>
      <c r="F4236">
        <v>37000</v>
      </c>
      <c r="G4236" s="1">
        <v>5.0000000000000001E-3</v>
      </c>
      <c r="H4236" s="1">
        <v>5.0000000000000001E-3</v>
      </c>
      <c r="I4236" s="1">
        <v>5.0000000000000001E-3</v>
      </c>
      <c r="J4236" s="1">
        <v>0.70920000000000005</v>
      </c>
    </row>
    <row r="4237" spans="1:10" x14ac:dyDescent="0.2">
      <c r="A4237" t="str">
        <f>"06/08/2009"</f>
        <v>06/08/2009</v>
      </c>
      <c r="B4237">
        <v>3</v>
      </c>
      <c r="C4237">
        <v>37000</v>
      </c>
      <c r="D4237">
        <v>52560</v>
      </c>
      <c r="E4237">
        <v>37000</v>
      </c>
      <c r="F4237">
        <v>37000</v>
      </c>
      <c r="G4237" s="1">
        <v>5.0000000000000001E-3</v>
      </c>
      <c r="H4237" s="1">
        <v>5.0000000000000001E-3</v>
      </c>
      <c r="I4237" s="1">
        <v>5.0000000000000001E-3</v>
      </c>
      <c r="J4237" s="1">
        <v>0.67720000000000002</v>
      </c>
    </row>
    <row r="4238" spans="1:10" x14ac:dyDescent="0.2">
      <c r="A4238" t="str">
        <f>"05/08/2009"</f>
        <v>05/08/2009</v>
      </c>
      <c r="B4238">
        <v>1</v>
      </c>
      <c r="C4238">
        <v>45000</v>
      </c>
      <c r="D4238">
        <v>66162</v>
      </c>
      <c r="E4238">
        <v>45000</v>
      </c>
      <c r="F4238">
        <v>45000</v>
      </c>
      <c r="G4238" s="1">
        <v>5.0000000000000001E-3</v>
      </c>
      <c r="H4238" s="1">
        <v>5.0000000000000001E-3</v>
      </c>
      <c r="I4238" s="1">
        <v>5.0000000000000001E-3</v>
      </c>
      <c r="J4238" s="1">
        <v>0.66279999999999994</v>
      </c>
    </row>
    <row r="4239" spans="1:10" x14ac:dyDescent="0.2">
      <c r="A4239" t="str">
        <f>"04/08/2009"</f>
        <v>04/08/2009</v>
      </c>
      <c r="B4239">
        <v>1</v>
      </c>
      <c r="C4239">
        <v>41500</v>
      </c>
      <c r="D4239">
        <v>62080</v>
      </c>
      <c r="E4239">
        <v>41500</v>
      </c>
      <c r="F4239">
        <v>41500</v>
      </c>
      <c r="G4239" s="1">
        <v>5.0000000000000001E-3</v>
      </c>
      <c r="H4239" s="1">
        <v>5.0000000000000001E-3</v>
      </c>
      <c r="I4239" s="1">
        <v>5.0000000000000001E-3</v>
      </c>
      <c r="J4239" s="1">
        <v>0.64149999999999996</v>
      </c>
    </row>
    <row r="4240" spans="1:10" x14ac:dyDescent="0.2">
      <c r="A4240" t="str">
        <f>"03/08/2009"</f>
        <v>03/08/2009</v>
      </c>
      <c r="B4240">
        <v>1</v>
      </c>
      <c r="C4240">
        <v>42000</v>
      </c>
      <c r="D4240">
        <v>56125</v>
      </c>
      <c r="E4240">
        <v>42000</v>
      </c>
      <c r="F4240">
        <v>42000</v>
      </c>
      <c r="G4240" s="1">
        <v>5.0000000000000001E-3</v>
      </c>
      <c r="H4240" s="1">
        <v>5.0000000000000001E-3</v>
      </c>
      <c r="I4240" s="1">
        <v>5.0000000000000001E-3</v>
      </c>
      <c r="J4240" s="1">
        <v>0.72130000000000005</v>
      </c>
    </row>
    <row r="4241" spans="1:10" x14ac:dyDescent="0.2">
      <c r="A4241" t="str">
        <f>"02/08/2009"</f>
        <v>02/08/2009</v>
      </c>
      <c r="B4241">
        <v>1</v>
      </c>
      <c r="C4241">
        <v>41000</v>
      </c>
      <c r="D4241">
        <v>55750</v>
      </c>
      <c r="E4241">
        <v>41000</v>
      </c>
      <c r="F4241">
        <v>41000</v>
      </c>
      <c r="G4241" s="1">
        <v>5.0000000000000001E-3</v>
      </c>
      <c r="H4241" s="1">
        <v>5.0000000000000001E-3</v>
      </c>
      <c r="I4241" s="1">
        <v>5.0000000000000001E-3</v>
      </c>
      <c r="J4241" s="1">
        <v>0.71040000000000003</v>
      </c>
    </row>
    <row r="4242" spans="1:10" x14ac:dyDescent="0.2">
      <c r="A4242" t="str">
        <f>"31/07/2009"</f>
        <v>31/07/2009</v>
      </c>
      <c r="B4242">
        <v>2</v>
      </c>
      <c r="C4242">
        <v>37500</v>
      </c>
      <c r="D4242">
        <v>45475</v>
      </c>
      <c r="E4242">
        <v>37500</v>
      </c>
      <c r="F4242">
        <v>37500</v>
      </c>
      <c r="G4242" s="1">
        <v>5.0000000000000001E-3</v>
      </c>
      <c r="H4242" s="1">
        <v>5.0000000000000001E-3</v>
      </c>
      <c r="I4242" s="1">
        <v>5.0000000000000001E-3</v>
      </c>
      <c r="J4242" s="1">
        <v>0.80320000000000003</v>
      </c>
    </row>
    <row r="4243" spans="1:10" x14ac:dyDescent="0.2">
      <c r="A4243" t="str">
        <f>"29/07/2009"</f>
        <v>29/07/2009</v>
      </c>
      <c r="B4243">
        <v>2</v>
      </c>
      <c r="C4243">
        <v>33000</v>
      </c>
      <c r="D4243">
        <v>32177</v>
      </c>
      <c r="E4243">
        <v>32177</v>
      </c>
      <c r="F4243">
        <v>32177</v>
      </c>
      <c r="G4243" s="1">
        <v>5.0000000000000001E-3</v>
      </c>
      <c r="H4243" s="1">
        <v>4.8999999999999998E-3</v>
      </c>
      <c r="I4243" s="1">
        <v>4.8999999999999998E-3</v>
      </c>
      <c r="J4243" s="1">
        <v>1</v>
      </c>
    </row>
    <row r="4244" spans="1:10" x14ac:dyDescent="0.2">
      <c r="A4244" t="str">
        <f>"28/07/2009"</f>
        <v>28/07/2009</v>
      </c>
      <c r="B4244">
        <v>1</v>
      </c>
      <c r="C4244">
        <v>27500</v>
      </c>
      <c r="D4244">
        <v>49606</v>
      </c>
      <c r="E4244">
        <v>27500</v>
      </c>
      <c r="F4244">
        <v>27500</v>
      </c>
      <c r="G4244" s="1">
        <v>5.0000000000000001E-3</v>
      </c>
      <c r="H4244" s="1">
        <v>4.8999999999999998E-3</v>
      </c>
      <c r="I4244" s="1">
        <v>4.8999999999999998E-3</v>
      </c>
      <c r="J4244" s="1">
        <v>0.35589999999999999</v>
      </c>
    </row>
    <row r="4245" spans="1:10" x14ac:dyDescent="0.2">
      <c r="A4245" t="str">
        <f>"27/07/2009"</f>
        <v>27/07/2009</v>
      </c>
      <c r="B4245">
        <v>1</v>
      </c>
      <c r="C4245">
        <v>25500</v>
      </c>
      <c r="D4245">
        <v>46639</v>
      </c>
      <c r="E4245">
        <v>25500</v>
      </c>
      <c r="F4245">
        <v>25500</v>
      </c>
      <c r="G4245" s="1">
        <v>5.0000000000000001E-3</v>
      </c>
      <c r="H4245" s="1">
        <v>5.0000000000000001E-3</v>
      </c>
      <c r="I4245" s="1">
        <v>5.0000000000000001E-3</v>
      </c>
      <c r="J4245" s="1">
        <v>0.39600000000000002</v>
      </c>
    </row>
    <row r="4246" spans="1:10" x14ac:dyDescent="0.2">
      <c r="A4246" t="str">
        <f>"26/07/2009"</f>
        <v>26/07/2009</v>
      </c>
      <c r="B4246">
        <v>1</v>
      </c>
      <c r="C4246">
        <v>23500</v>
      </c>
      <c r="D4246">
        <v>49844</v>
      </c>
      <c r="E4246">
        <v>23500</v>
      </c>
      <c r="F4246">
        <v>23500</v>
      </c>
      <c r="G4246" s="1">
        <v>5.0000000000000001E-3</v>
      </c>
      <c r="H4246" s="1">
        <v>5.0000000000000001E-3</v>
      </c>
      <c r="I4246" s="1">
        <v>5.0000000000000001E-3</v>
      </c>
      <c r="J4246" s="1">
        <v>0.42980000000000002</v>
      </c>
    </row>
    <row r="4247" spans="1:10" x14ac:dyDescent="0.2">
      <c r="A4247" t="str">
        <f>"23/07/2009"</f>
        <v>23/07/2009</v>
      </c>
      <c r="B4247">
        <v>3</v>
      </c>
      <c r="C4247">
        <v>23500</v>
      </c>
      <c r="D4247">
        <v>40205</v>
      </c>
      <c r="E4247">
        <v>23500</v>
      </c>
      <c r="F4247">
        <v>23500</v>
      </c>
      <c r="G4247" s="1">
        <v>5.0000000000000001E-3</v>
      </c>
      <c r="H4247" s="1">
        <v>5.0000000000000001E-3</v>
      </c>
      <c r="I4247" s="1">
        <v>5.0000000000000001E-3</v>
      </c>
      <c r="J4247" s="1">
        <v>0.50770000000000004</v>
      </c>
    </row>
    <row r="4248" spans="1:10" x14ac:dyDescent="0.2">
      <c r="A4248" t="str">
        <f>"22/07/2009"</f>
        <v>22/07/2009</v>
      </c>
      <c r="B4248">
        <v>1</v>
      </c>
      <c r="C4248">
        <v>25000</v>
      </c>
      <c r="D4248">
        <v>39785</v>
      </c>
      <c r="E4248">
        <v>25000</v>
      </c>
      <c r="F4248">
        <v>25000</v>
      </c>
      <c r="G4248" s="1">
        <v>5.0000000000000001E-3</v>
      </c>
      <c r="H4248" s="1">
        <v>5.0000000000000001E-3</v>
      </c>
      <c r="I4248" s="1">
        <v>5.0000000000000001E-3</v>
      </c>
      <c r="J4248" s="1">
        <v>0.58430000000000004</v>
      </c>
    </row>
    <row r="4249" spans="1:10" x14ac:dyDescent="0.2">
      <c r="A4249" t="str">
        <f>"21/07/2009"</f>
        <v>21/07/2009</v>
      </c>
      <c r="B4249">
        <v>1</v>
      </c>
      <c r="C4249">
        <v>25000</v>
      </c>
      <c r="D4249">
        <v>35892</v>
      </c>
      <c r="E4249">
        <v>25000</v>
      </c>
      <c r="F4249">
        <v>25000</v>
      </c>
      <c r="G4249" s="1">
        <v>5.0000000000000001E-3</v>
      </c>
      <c r="H4249" s="1">
        <v>5.0000000000000001E-3</v>
      </c>
      <c r="I4249" s="1">
        <v>5.0000000000000001E-3</v>
      </c>
      <c r="J4249" s="1">
        <v>0.63690000000000002</v>
      </c>
    </row>
    <row r="4250" spans="1:10" x14ac:dyDescent="0.2">
      <c r="A4250" t="str">
        <f>"20/07/2009"</f>
        <v>20/07/2009</v>
      </c>
      <c r="B4250">
        <v>1</v>
      </c>
      <c r="C4250">
        <v>25000</v>
      </c>
      <c r="D4250">
        <v>18528</v>
      </c>
      <c r="E4250">
        <v>18528</v>
      </c>
      <c r="F4250">
        <v>18528</v>
      </c>
      <c r="G4250" s="1">
        <v>5.0000000000000001E-3</v>
      </c>
      <c r="H4250" s="1">
        <v>5.0000000000000001E-3</v>
      </c>
      <c r="I4250" s="1">
        <v>5.0000000000000001E-3</v>
      </c>
      <c r="J4250" s="1">
        <v>1</v>
      </c>
    </row>
    <row r="4251" spans="1:10" x14ac:dyDescent="0.2">
      <c r="A4251" t="str">
        <f>"19/07/2009"</f>
        <v>19/07/2009</v>
      </c>
      <c r="B4251">
        <v>1</v>
      </c>
      <c r="C4251">
        <v>25000</v>
      </c>
      <c r="D4251">
        <v>37299</v>
      </c>
      <c r="E4251">
        <v>25000</v>
      </c>
      <c r="F4251">
        <v>25000</v>
      </c>
      <c r="G4251" s="1">
        <v>5.0000000000000001E-3</v>
      </c>
      <c r="H4251" s="1">
        <v>5.0000000000000001E-3</v>
      </c>
      <c r="I4251" s="1">
        <v>5.0000000000000001E-3</v>
      </c>
      <c r="J4251" s="1">
        <v>0.64839999999999998</v>
      </c>
    </row>
    <row r="4252" spans="1:10" x14ac:dyDescent="0.2">
      <c r="A4252" t="str">
        <f>"16/07/2009"</f>
        <v>16/07/2009</v>
      </c>
      <c r="B4252">
        <v>3</v>
      </c>
      <c r="C4252">
        <v>25500</v>
      </c>
      <c r="D4252">
        <v>34921</v>
      </c>
      <c r="E4252">
        <v>25500</v>
      </c>
      <c r="F4252">
        <v>25500</v>
      </c>
      <c r="G4252" s="1">
        <v>5.0000000000000001E-3</v>
      </c>
      <c r="H4252" s="1">
        <v>5.0000000000000001E-3</v>
      </c>
      <c r="I4252" s="1">
        <v>5.0000000000000001E-3</v>
      </c>
      <c r="J4252" s="1">
        <v>0.70750000000000002</v>
      </c>
    </row>
    <row r="4253" spans="1:10" x14ac:dyDescent="0.2">
      <c r="A4253" t="str">
        <f>"15/07/2009"</f>
        <v>15/07/2009</v>
      </c>
      <c r="B4253">
        <v>1</v>
      </c>
      <c r="C4253">
        <v>36000</v>
      </c>
      <c r="D4253">
        <v>45196</v>
      </c>
      <c r="E4253">
        <v>36000</v>
      </c>
      <c r="F4253">
        <v>36000</v>
      </c>
      <c r="G4253" s="1">
        <v>5.0000000000000001E-3</v>
      </c>
      <c r="H4253" s="1">
        <v>5.0000000000000001E-3</v>
      </c>
      <c r="I4253" s="1">
        <v>5.0000000000000001E-3</v>
      </c>
      <c r="J4253" s="1">
        <v>0.78310000000000002</v>
      </c>
    </row>
    <row r="4254" spans="1:10" x14ac:dyDescent="0.2">
      <c r="A4254" t="str">
        <f>"14/07/2009"</f>
        <v>14/07/2009</v>
      </c>
      <c r="B4254">
        <v>1</v>
      </c>
      <c r="C4254">
        <v>36000</v>
      </c>
      <c r="D4254">
        <v>45429</v>
      </c>
      <c r="E4254">
        <v>36000</v>
      </c>
      <c r="F4254">
        <v>36000</v>
      </c>
      <c r="G4254" s="1">
        <v>5.0000000000000001E-3</v>
      </c>
      <c r="H4254" s="1">
        <v>5.0000000000000001E-3</v>
      </c>
      <c r="I4254" s="1">
        <v>5.0000000000000001E-3</v>
      </c>
      <c r="J4254" s="1">
        <v>0.78200000000000003</v>
      </c>
    </row>
    <row r="4255" spans="1:10" x14ac:dyDescent="0.2">
      <c r="A4255" t="str">
        <f>"13/07/2009"</f>
        <v>13/07/2009</v>
      </c>
      <c r="B4255">
        <v>1</v>
      </c>
      <c r="C4255">
        <v>37500</v>
      </c>
      <c r="D4255">
        <v>49185</v>
      </c>
      <c r="E4255">
        <v>37500</v>
      </c>
      <c r="F4255">
        <v>37500</v>
      </c>
      <c r="G4255" s="1">
        <v>5.0000000000000001E-3</v>
      </c>
      <c r="H4255" s="1">
        <v>5.0000000000000001E-3</v>
      </c>
      <c r="I4255" s="1">
        <v>5.0000000000000001E-3</v>
      </c>
      <c r="J4255" s="1">
        <v>0.75019999999999998</v>
      </c>
    </row>
    <row r="4256" spans="1:10" x14ac:dyDescent="0.2">
      <c r="A4256" t="str">
        <f>"12/07/2009"</f>
        <v>12/07/2009</v>
      </c>
      <c r="B4256">
        <v>1</v>
      </c>
      <c r="C4256">
        <v>37000</v>
      </c>
      <c r="D4256">
        <v>48167</v>
      </c>
      <c r="E4256">
        <v>37000</v>
      </c>
      <c r="F4256">
        <v>37000</v>
      </c>
      <c r="G4256" s="1">
        <v>5.0000000000000001E-3</v>
      </c>
      <c r="H4256" s="1">
        <v>5.0000000000000001E-3</v>
      </c>
      <c r="I4256" s="1">
        <v>5.0000000000000001E-3</v>
      </c>
      <c r="J4256" s="1">
        <v>0.75480000000000003</v>
      </c>
    </row>
    <row r="4257" spans="1:10" x14ac:dyDescent="0.2">
      <c r="A4257" t="str">
        <f>"09/07/2009"</f>
        <v>09/07/2009</v>
      </c>
      <c r="B4257">
        <v>3</v>
      </c>
      <c r="C4257">
        <v>36500</v>
      </c>
      <c r="D4257">
        <v>49461</v>
      </c>
      <c r="E4257">
        <v>36500</v>
      </c>
      <c r="F4257">
        <v>36500</v>
      </c>
      <c r="G4257" s="1">
        <v>5.0000000000000001E-3</v>
      </c>
      <c r="H4257" s="1">
        <v>5.0000000000000001E-3</v>
      </c>
      <c r="I4257" s="1">
        <v>5.0000000000000001E-3</v>
      </c>
      <c r="J4257" s="1">
        <v>0.72250000000000003</v>
      </c>
    </row>
    <row r="4258" spans="1:10" x14ac:dyDescent="0.2">
      <c r="A4258" t="str">
        <f>"08/07/2009"</f>
        <v>08/07/2009</v>
      </c>
      <c r="B4258">
        <v>1</v>
      </c>
      <c r="C4258">
        <v>36000</v>
      </c>
      <c r="D4258">
        <v>46020</v>
      </c>
      <c r="E4258">
        <v>36000</v>
      </c>
      <c r="F4258">
        <v>36000</v>
      </c>
      <c r="G4258" s="1">
        <v>5.0000000000000001E-3</v>
      </c>
      <c r="H4258" s="1">
        <v>5.0000000000000001E-3</v>
      </c>
      <c r="I4258" s="1">
        <v>5.0000000000000001E-3</v>
      </c>
      <c r="J4258" s="1">
        <v>0.76060000000000005</v>
      </c>
    </row>
    <row r="4259" spans="1:10" x14ac:dyDescent="0.2">
      <c r="A4259" t="str">
        <f>"07/07/2009"</f>
        <v>07/07/2009</v>
      </c>
      <c r="B4259">
        <v>1</v>
      </c>
      <c r="C4259">
        <v>42000</v>
      </c>
      <c r="D4259">
        <v>57288</v>
      </c>
      <c r="E4259">
        <v>42000</v>
      </c>
      <c r="F4259">
        <v>42000</v>
      </c>
      <c r="G4259" s="1">
        <v>5.0000000000000001E-3</v>
      </c>
      <c r="H4259" s="1">
        <v>5.0000000000000001E-3</v>
      </c>
      <c r="I4259" s="1">
        <v>5.0000000000000001E-3</v>
      </c>
      <c r="J4259" s="1">
        <v>0.7157</v>
      </c>
    </row>
    <row r="4260" spans="1:10" x14ac:dyDescent="0.2">
      <c r="A4260" t="str">
        <f>"06/07/2009"</f>
        <v>06/07/2009</v>
      </c>
      <c r="B4260">
        <v>1</v>
      </c>
      <c r="C4260">
        <v>42000</v>
      </c>
      <c r="D4260">
        <v>57069</v>
      </c>
      <c r="E4260">
        <v>42000</v>
      </c>
      <c r="F4260">
        <v>42000</v>
      </c>
      <c r="G4260" s="1">
        <v>5.0000000000000001E-3</v>
      </c>
      <c r="H4260" s="1">
        <v>5.0000000000000001E-3</v>
      </c>
      <c r="I4260" s="1">
        <v>5.0000000000000001E-3</v>
      </c>
      <c r="J4260" s="1">
        <v>0.71730000000000005</v>
      </c>
    </row>
    <row r="4261" spans="1:10" x14ac:dyDescent="0.2">
      <c r="A4261" t="str">
        <f>"05/07/2009"</f>
        <v>05/07/2009</v>
      </c>
      <c r="B4261">
        <v>1</v>
      </c>
      <c r="C4261">
        <v>40500</v>
      </c>
      <c r="D4261">
        <v>56141</v>
      </c>
      <c r="E4261">
        <v>40500</v>
      </c>
      <c r="F4261">
        <v>40500</v>
      </c>
      <c r="G4261" s="1">
        <v>5.0000000000000001E-3</v>
      </c>
      <c r="H4261" s="1">
        <v>5.0000000000000001E-3</v>
      </c>
      <c r="I4261" s="1">
        <v>5.0000000000000001E-3</v>
      </c>
      <c r="J4261" s="1">
        <v>0.69689999999999996</v>
      </c>
    </row>
    <row r="4262" spans="1:10" x14ac:dyDescent="0.2">
      <c r="A4262" t="str">
        <f>"02/07/2009"</f>
        <v>02/07/2009</v>
      </c>
      <c r="B4262">
        <v>3</v>
      </c>
      <c r="C4262">
        <v>40500</v>
      </c>
      <c r="D4262">
        <v>62864</v>
      </c>
      <c r="E4262">
        <v>40500</v>
      </c>
      <c r="F4262">
        <v>40500</v>
      </c>
      <c r="G4262" s="1">
        <v>5.0000000000000001E-3</v>
      </c>
      <c r="H4262" s="1">
        <v>5.0000000000000001E-3</v>
      </c>
      <c r="I4262" s="1">
        <v>5.0000000000000001E-3</v>
      </c>
      <c r="J4262" s="1">
        <v>0.61219999999999997</v>
      </c>
    </row>
    <row r="4263" spans="1:10" x14ac:dyDescent="0.2">
      <c r="A4263" t="str">
        <f>"01/07/2009"</f>
        <v>01/07/2009</v>
      </c>
      <c r="B4263">
        <v>1</v>
      </c>
      <c r="C4263">
        <v>32500</v>
      </c>
      <c r="D4263">
        <v>56930</v>
      </c>
      <c r="E4263">
        <v>32500</v>
      </c>
      <c r="F4263">
        <v>32500</v>
      </c>
      <c r="G4263" s="1">
        <v>5.0000000000000001E-3</v>
      </c>
      <c r="H4263" s="1">
        <v>5.0000000000000001E-3</v>
      </c>
      <c r="I4263" s="1">
        <v>5.0000000000000001E-3</v>
      </c>
      <c r="J4263" s="1">
        <v>0.52590000000000003</v>
      </c>
    </row>
    <row r="4264" spans="1:10" x14ac:dyDescent="0.2">
      <c r="A4264" t="str">
        <f>"30/06/2009"</f>
        <v>30/06/2009</v>
      </c>
      <c r="B4264">
        <v>1</v>
      </c>
      <c r="C4264">
        <v>28500</v>
      </c>
      <c r="D4264">
        <v>44357</v>
      </c>
      <c r="E4264">
        <v>28500</v>
      </c>
      <c r="F4264">
        <v>28500</v>
      </c>
      <c r="G4264" s="1">
        <v>5.0000000000000001E-3</v>
      </c>
      <c r="H4264" s="1">
        <v>5.0000000000000001E-3</v>
      </c>
      <c r="I4264" s="1">
        <v>5.0000000000000001E-3</v>
      </c>
      <c r="J4264" s="1">
        <v>0.6099</v>
      </c>
    </row>
    <row r="4265" spans="1:10" x14ac:dyDescent="0.2">
      <c r="A4265" t="str">
        <f>"29/06/2009"</f>
        <v>29/06/2009</v>
      </c>
      <c r="B4265">
        <v>1</v>
      </c>
      <c r="C4265">
        <v>26000</v>
      </c>
      <c r="D4265">
        <v>41674</v>
      </c>
      <c r="E4265">
        <v>26000</v>
      </c>
      <c r="F4265">
        <v>26000</v>
      </c>
      <c r="G4265" s="1">
        <v>5.0000000000000001E-3</v>
      </c>
      <c r="H4265" s="1">
        <v>5.0000000000000001E-3</v>
      </c>
      <c r="I4265" s="1">
        <v>5.0000000000000001E-3</v>
      </c>
      <c r="J4265" s="1">
        <v>0.58499999999999996</v>
      </c>
    </row>
    <row r="4266" spans="1:10" x14ac:dyDescent="0.2">
      <c r="A4266" t="str">
        <f>"28/06/2009"</f>
        <v>28/06/2009</v>
      </c>
      <c r="B4266">
        <v>1</v>
      </c>
      <c r="C4266">
        <v>25000</v>
      </c>
      <c r="D4266">
        <v>41794</v>
      </c>
      <c r="E4266">
        <v>25000</v>
      </c>
      <c r="F4266">
        <v>25000</v>
      </c>
      <c r="G4266" s="1">
        <v>5.0000000000000001E-3</v>
      </c>
      <c r="H4266" s="1">
        <v>5.0000000000000001E-3</v>
      </c>
      <c r="I4266" s="1">
        <v>5.0000000000000001E-3</v>
      </c>
      <c r="J4266" s="1">
        <v>0.55630000000000002</v>
      </c>
    </row>
    <row r="4267" spans="1:10" x14ac:dyDescent="0.2">
      <c r="A4267" t="str">
        <f>"25/06/2009"</f>
        <v>25/06/2009</v>
      </c>
      <c r="B4267">
        <v>3</v>
      </c>
      <c r="C4267">
        <v>23000</v>
      </c>
      <c r="D4267">
        <v>38519</v>
      </c>
      <c r="E4267">
        <v>23000</v>
      </c>
      <c r="F4267">
        <v>23000</v>
      </c>
      <c r="G4267" s="1">
        <v>5.0000000000000001E-3</v>
      </c>
      <c r="H4267" s="1">
        <v>5.0000000000000001E-3</v>
      </c>
      <c r="I4267" s="1">
        <v>5.0000000000000001E-3</v>
      </c>
      <c r="J4267" s="1">
        <v>0.56369999999999998</v>
      </c>
    </row>
    <row r="4268" spans="1:10" x14ac:dyDescent="0.2">
      <c r="A4268" t="str">
        <f>"24/06/2009"</f>
        <v>24/06/2009</v>
      </c>
      <c r="B4268">
        <v>1</v>
      </c>
      <c r="C4268">
        <v>23500</v>
      </c>
      <c r="D4268">
        <v>22953</v>
      </c>
      <c r="E4268">
        <v>22953</v>
      </c>
      <c r="F4268">
        <v>22953</v>
      </c>
      <c r="G4268" s="1">
        <v>5.0000000000000001E-3</v>
      </c>
      <c r="H4268" s="1">
        <v>4.8999999999999998E-3</v>
      </c>
      <c r="I4268" s="1">
        <v>4.8999999999999998E-3</v>
      </c>
      <c r="J4268" s="1">
        <v>1</v>
      </c>
    </row>
    <row r="4269" spans="1:10" x14ac:dyDescent="0.2">
      <c r="A4269" t="str">
        <f>"23/06/2009"</f>
        <v>23/06/2009</v>
      </c>
      <c r="B4269">
        <v>1</v>
      </c>
      <c r="C4269">
        <v>23000</v>
      </c>
      <c r="D4269">
        <v>37403</v>
      </c>
      <c r="E4269">
        <v>23000</v>
      </c>
      <c r="F4269">
        <v>23000</v>
      </c>
      <c r="G4269" s="1">
        <v>5.0000000000000001E-3</v>
      </c>
      <c r="H4269" s="1">
        <v>5.0000000000000001E-3</v>
      </c>
      <c r="I4269" s="1">
        <v>5.0000000000000001E-3</v>
      </c>
      <c r="J4269" s="1">
        <v>0.52729999999999999</v>
      </c>
    </row>
    <row r="4270" spans="1:10" x14ac:dyDescent="0.2">
      <c r="A4270" t="str">
        <f>"22/06/2009"</f>
        <v>22/06/2009</v>
      </c>
      <c r="B4270">
        <v>1</v>
      </c>
      <c r="C4270">
        <v>25500</v>
      </c>
      <c r="D4270">
        <v>38936</v>
      </c>
      <c r="E4270">
        <v>25500</v>
      </c>
      <c r="F4270">
        <v>25500</v>
      </c>
      <c r="G4270" s="1">
        <v>5.0000000000000001E-3</v>
      </c>
      <c r="H4270" s="1">
        <v>5.0000000000000001E-3</v>
      </c>
      <c r="I4270" s="1">
        <v>5.0000000000000001E-3</v>
      </c>
      <c r="J4270" s="1">
        <v>0.54139999999999999</v>
      </c>
    </row>
    <row r="4271" spans="1:10" x14ac:dyDescent="0.2">
      <c r="A4271" t="str">
        <f>"21/06/2009"</f>
        <v>21/06/2009</v>
      </c>
      <c r="B4271">
        <v>1</v>
      </c>
      <c r="C4271">
        <v>23500</v>
      </c>
      <c r="D4271">
        <v>43700</v>
      </c>
      <c r="E4271">
        <v>23500</v>
      </c>
      <c r="F4271">
        <v>23500</v>
      </c>
      <c r="G4271" s="1">
        <v>5.0000000000000001E-3</v>
      </c>
      <c r="H4271" s="1">
        <v>5.0000000000000001E-3</v>
      </c>
      <c r="I4271" s="1">
        <v>5.0000000000000001E-3</v>
      </c>
      <c r="J4271" s="1">
        <v>0.48570000000000002</v>
      </c>
    </row>
    <row r="4272" spans="1:10" x14ac:dyDescent="0.2">
      <c r="A4272" t="str">
        <f>"18/06/2009"</f>
        <v>18/06/2009</v>
      </c>
      <c r="B4272">
        <v>3</v>
      </c>
      <c r="C4272">
        <v>24000</v>
      </c>
      <c r="D4272">
        <v>39146</v>
      </c>
      <c r="E4272">
        <v>24000</v>
      </c>
      <c r="F4272">
        <v>24000</v>
      </c>
      <c r="G4272" s="1">
        <v>5.0000000000000001E-3</v>
      </c>
      <c r="H4272" s="1">
        <v>5.0000000000000001E-3</v>
      </c>
      <c r="I4272" s="1">
        <v>5.0000000000000001E-3</v>
      </c>
      <c r="J4272" s="1">
        <v>0.54990000000000006</v>
      </c>
    </row>
    <row r="4273" spans="1:10" x14ac:dyDescent="0.2">
      <c r="A4273" t="str">
        <f>"17/06/2009"</f>
        <v>17/06/2009</v>
      </c>
      <c r="B4273">
        <v>1</v>
      </c>
      <c r="C4273">
        <v>21000</v>
      </c>
      <c r="D4273">
        <v>37246</v>
      </c>
      <c r="E4273">
        <v>21000</v>
      </c>
      <c r="F4273">
        <v>21000</v>
      </c>
      <c r="G4273" s="1">
        <v>5.0000000000000001E-3</v>
      </c>
      <c r="H4273" s="1">
        <v>5.0000000000000001E-3</v>
      </c>
      <c r="I4273" s="1">
        <v>5.0000000000000001E-3</v>
      </c>
      <c r="J4273" s="1">
        <v>0.51139999999999997</v>
      </c>
    </row>
    <row r="4274" spans="1:10" x14ac:dyDescent="0.2">
      <c r="A4274" t="str">
        <f>"16/06/2009"</f>
        <v>16/06/2009</v>
      </c>
      <c r="B4274">
        <v>1</v>
      </c>
      <c r="C4274">
        <v>21500</v>
      </c>
      <c r="D4274">
        <v>33495</v>
      </c>
      <c r="E4274">
        <v>21500</v>
      </c>
      <c r="F4274">
        <v>21500</v>
      </c>
      <c r="G4274" s="1">
        <v>5.0000000000000001E-3</v>
      </c>
      <c r="H4274" s="1">
        <v>5.0000000000000001E-3</v>
      </c>
      <c r="I4274" s="1">
        <v>5.0000000000000001E-3</v>
      </c>
      <c r="J4274" s="1">
        <v>0.61219999999999997</v>
      </c>
    </row>
    <row r="4275" spans="1:10" x14ac:dyDescent="0.2">
      <c r="A4275" t="str">
        <f>"15/06/2009"</f>
        <v>15/06/2009</v>
      </c>
      <c r="B4275">
        <v>1</v>
      </c>
      <c r="C4275">
        <v>29000</v>
      </c>
      <c r="D4275">
        <v>43416</v>
      </c>
      <c r="E4275">
        <v>29000</v>
      </c>
      <c r="F4275">
        <v>29000</v>
      </c>
      <c r="G4275" s="1">
        <v>5.0000000000000001E-3</v>
      </c>
      <c r="H4275" s="1">
        <v>5.0000000000000001E-3</v>
      </c>
      <c r="I4275" s="1">
        <v>5.0000000000000001E-3</v>
      </c>
      <c r="J4275" s="1">
        <v>0.6452</v>
      </c>
    </row>
    <row r="4276" spans="1:10" x14ac:dyDescent="0.2">
      <c r="A4276" t="str">
        <f>"14/06/2009"</f>
        <v>14/06/2009</v>
      </c>
      <c r="B4276">
        <v>1</v>
      </c>
      <c r="C4276">
        <v>28500</v>
      </c>
      <c r="D4276">
        <v>41575</v>
      </c>
      <c r="E4276">
        <v>28500</v>
      </c>
      <c r="F4276">
        <v>28500</v>
      </c>
      <c r="G4276" s="1">
        <v>5.0000000000000001E-3</v>
      </c>
      <c r="H4276" s="1">
        <v>5.0000000000000001E-3</v>
      </c>
      <c r="I4276" s="1">
        <v>5.0000000000000001E-3</v>
      </c>
      <c r="J4276" s="1">
        <v>0.65849999999999997</v>
      </c>
    </row>
    <row r="4277" spans="1:10" x14ac:dyDescent="0.2">
      <c r="A4277" t="str">
        <f>"11/06/2009"</f>
        <v>11/06/2009</v>
      </c>
      <c r="B4277">
        <v>3</v>
      </c>
      <c r="C4277">
        <v>28500</v>
      </c>
      <c r="D4277">
        <v>40445</v>
      </c>
      <c r="E4277">
        <v>28500</v>
      </c>
      <c r="F4277">
        <v>28500</v>
      </c>
      <c r="G4277" s="1">
        <v>5.0000000000000001E-3</v>
      </c>
      <c r="H4277" s="1">
        <v>5.0000000000000001E-3</v>
      </c>
      <c r="I4277" s="1">
        <v>5.0000000000000001E-3</v>
      </c>
      <c r="J4277" s="1">
        <v>0.68369999999999997</v>
      </c>
    </row>
    <row r="4278" spans="1:10" x14ac:dyDescent="0.2">
      <c r="A4278" t="str">
        <f>"10/06/2009"</f>
        <v>10/06/2009</v>
      </c>
      <c r="B4278">
        <v>1</v>
      </c>
      <c r="C4278">
        <v>29500</v>
      </c>
      <c r="D4278">
        <v>38155</v>
      </c>
      <c r="E4278">
        <v>29500</v>
      </c>
      <c r="F4278">
        <v>29500</v>
      </c>
      <c r="G4278" s="1">
        <v>5.0000000000000001E-3</v>
      </c>
      <c r="H4278" s="1">
        <v>5.0000000000000001E-3</v>
      </c>
      <c r="I4278" s="1">
        <v>5.0000000000000001E-3</v>
      </c>
      <c r="J4278" s="1">
        <v>0.75519999999999998</v>
      </c>
    </row>
    <row r="4279" spans="1:10" x14ac:dyDescent="0.2">
      <c r="A4279" t="str">
        <f>"09/06/2009"</f>
        <v>09/06/2009</v>
      </c>
      <c r="B4279">
        <v>1</v>
      </c>
      <c r="C4279">
        <v>29500</v>
      </c>
      <c r="D4279">
        <v>40268</v>
      </c>
      <c r="E4279">
        <v>29500</v>
      </c>
      <c r="F4279">
        <v>29500</v>
      </c>
      <c r="G4279" s="1">
        <v>5.0000000000000001E-3</v>
      </c>
      <c r="H4279" s="1">
        <v>5.0000000000000001E-3</v>
      </c>
      <c r="I4279" s="1">
        <v>5.0000000000000001E-3</v>
      </c>
      <c r="J4279" s="1">
        <v>0.71509999999999996</v>
      </c>
    </row>
    <row r="4280" spans="1:10" x14ac:dyDescent="0.2">
      <c r="A4280" t="str">
        <f>"08/06/2009"</f>
        <v>08/06/2009</v>
      </c>
      <c r="B4280">
        <v>1</v>
      </c>
      <c r="C4280">
        <v>30500</v>
      </c>
      <c r="D4280">
        <v>42877</v>
      </c>
      <c r="E4280">
        <v>30500</v>
      </c>
      <c r="F4280">
        <v>30500</v>
      </c>
      <c r="G4280" s="1">
        <v>5.0000000000000001E-3</v>
      </c>
      <c r="H4280" s="1">
        <v>5.0000000000000001E-3</v>
      </c>
      <c r="I4280" s="1">
        <v>5.0000000000000001E-3</v>
      </c>
      <c r="J4280" s="1">
        <v>0.69130000000000003</v>
      </c>
    </row>
    <row r="4281" spans="1:10" x14ac:dyDescent="0.2">
      <c r="A4281" t="str">
        <f>"07/06/2009"</f>
        <v>07/06/2009</v>
      </c>
      <c r="B4281">
        <v>1</v>
      </c>
      <c r="C4281">
        <v>29000</v>
      </c>
      <c r="D4281">
        <v>39792</v>
      </c>
      <c r="E4281">
        <v>29000</v>
      </c>
      <c r="F4281">
        <v>29000</v>
      </c>
      <c r="G4281" s="1">
        <v>5.0000000000000001E-3</v>
      </c>
      <c r="H4281" s="1">
        <v>5.0000000000000001E-3</v>
      </c>
      <c r="I4281" s="1">
        <v>5.0000000000000001E-3</v>
      </c>
      <c r="J4281" s="1">
        <v>0.70669999999999999</v>
      </c>
    </row>
    <row r="4282" spans="1:10" x14ac:dyDescent="0.2">
      <c r="A4282" t="str">
        <f>"04/06/2009"</f>
        <v>04/06/2009</v>
      </c>
      <c r="B4282">
        <v>3</v>
      </c>
      <c r="C4282">
        <v>29000</v>
      </c>
      <c r="D4282">
        <v>37940</v>
      </c>
      <c r="E4282">
        <v>29000</v>
      </c>
      <c r="F4282">
        <v>29000</v>
      </c>
      <c r="G4282" s="1">
        <v>5.0000000000000001E-3</v>
      </c>
      <c r="H4282" s="1">
        <v>5.0000000000000001E-3</v>
      </c>
      <c r="I4282" s="1">
        <v>5.0000000000000001E-3</v>
      </c>
      <c r="J4282" s="1">
        <v>0.74950000000000006</v>
      </c>
    </row>
    <row r="4283" spans="1:10" x14ac:dyDescent="0.2">
      <c r="A4283" t="str">
        <f>"03/06/2009"</f>
        <v>03/06/2009</v>
      </c>
      <c r="B4283">
        <v>1</v>
      </c>
      <c r="C4283">
        <v>27500</v>
      </c>
      <c r="D4283">
        <v>40240</v>
      </c>
      <c r="E4283">
        <v>27500</v>
      </c>
      <c r="F4283">
        <v>27500</v>
      </c>
      <c r="G4283" s="1">
        <v>5.0000000000000001E-3</v>
      </c>
      <c r="H4283" s="1">
        <v>5.0000000000000001E-3</v>
      </c>
      <c r="I4283" s="1">
        <v>5.0000000000000001E-3</v>
      </c>
      <c r="J4283" s="1">
        <v>0.65069999999999995</v>
      </c>
    </row>
    <row r="4284" spans="1:10" x14ac:dyDescent="0.2">
      <c r="A4284" t="str">
        <f>"02/06/2009"</f>
        <v>02/06/2009</v>
      </c>
      <c r="B4284">
        <v>1</v>
      </c>
      <c r="C4284">
        <v>27000</v>
      </c>
      <c r="D4284">
        <v>39278</v>
      </c>
      <c r="E4284">
        <v>27000</v>
      </c>
      <c r="F4284">
        <v>27000</v>
      </c>
      <c r="G4284" s="1">
        <v>5.0000000000000001E-3</v>
      </c>
      <c r="H4284" s="1">
        <v>5.0000000000000001E-3</v>
      </c>
      <c r="I4284" s="1">
        <v>5.0000000000000001E-3</v>
      </c>
      <c r="J4284" s="1">
        <v>0.65280000000000005</v>
      </c>
    </row>
    <row r="4285" spans="1:10" x14ac:dyDescent="0.2">
      <c r="A4285" t="str">
        <f>"01/06/2009"</f>
        <v>01/06/2009</v>
      </c>
      <c r="B4285">
        <v>1</v>
      </c>
      <c r="C4285">
        <v>26500</v>
      </c>
      <c r="D4285">
        <v>38442</v>
      </c>
      <c r="E4285">
        <v>26500</v>
      </c>
      <c r="F4285">
        <v>26500</v>
      </c>
      <c r="G4285" s="1">
        <v>5.0000000000000001E-3</v>
      </c>
      <c r="H4285" s="1">
        <v>5.0000000000000001E-3</v>
      </c>
      <c r="I4285" s="1">
        <v>5.0000000000000001E-3</v>
      </c>
      <c r="J4285" s="1">
        <v>0.65149999999999997</v>
      </c>
    </row>
    <row r="4286" spans="1:10" x14ac:dyDescent="0.2">
      <c r="A4286" t="str">
        <f>"31/05/2009"</f>
        <v>31/05/2009</v>
      </c>
      <c r="B4286">
        <v>1</v>
      </c>
      <c r="C4286">
        <v>21500</v>
      </c>
      <c r="D4286">
        <v>28328</v>
      </c>
      <c r="E4286">
        <v>21500</v>
      </c>
      <c r="F4286">
        <v>21500</v>
      </c>
      <c r="G4286" s="1">
        <v>5.0000000000000001E-3</v>
      </c>
      <c r="H4286" s="1">
        <v>5.0000000000000001E-3</v>
      </c>
      <c r="I4286" s="1">
        <v>5.0000000000000001E-3</v>
      </c>
      <c r="J4286" s="1">
        <v>0.71799999999999997</v>
      </c>
    </row>
    <row r="4287" spans="1:10" x14ac:dyDescent="0.2">
      <c r="A4287" t="str">
        <f>"28/05/2009"</f>
        <v>28/05/2009</v>
      </c>
      <c r="B4287">
        <v>3</v>
      </c>
      <c r="C4287">
        <v>19500</v>
      </c>
      <c r="D4287">
        <v>28983</v>
      </c>
      <c r="E4287">
        <v>19500</v>
      </c>
      <c r="F4287">
        <v>19500</v>
      </c>
      <c r="G4287" s="1">
        <v>5.0000000000000001E-3</v>
      </c>
      <c r="H4287" s="1">
        <v>5.0000000000000001E-3</v>
      </c>
      <c r="I4287" s="1">
        <v>5.0000000000000001E-3</v>
      </c>
      <c r="J4287" s="1">
        <v>0.58540000000000003</v>
      </c>
    </row>
    <row r="4288" spans="1:10" x14ac:dyDescent="0.2">
      <c r="A4288" t="str">
        <f>"27/05/2009"</f>
        <v>27/05/2009</v>
      </c>
      <c r="B4288">
        <v>1</v>
      </c>
      <c r="C4288">
        <v>20500</v>
      </c>
      <c r="D4288">
        <v>21589</v>
      </c>
      <c r="E4288">
        <v>20500</v>
      </c>
      <c r="F4288">
        <v>20500</v>
      </c>
      <c r="G4288" s="1">
        <v>5.0000000000000001E-3</v>
      </c>
      <c r="H4288" s="1">
        <v>4.8999999999999998E-3</v>
      </c>
      <c r="I4288" s="1">
        <v>4.8999999999999998E-3</v>
      </c>
      <c r="J4288" s="1">
        <v>0.87480000000000002</v>
      </c>
    </row>
    <row r="4289" spans="1:10" x14ac:dyDescent="0.2">
      <c r="A4289" t="str">
        <f>"26/05/2009"</f>
        <v>26/05/2009</v>
      </c>
      <c r="B4289">
        <v>1</v>
      </c>
      <c r="C4289">
        <v>21000</v>
      </c>
      <c r="D4289">
        <v>42343</v>
      </c>
      <c r="E4289">
        <v>21000</v>
      </c>
      <c r="F4289">
        <v>21000</v>
      </c>
      <c r="G4289" s="1">
        <v>5.0000000000000001E-3</v>
      </c>
      <c r="H4289" s="1">
        <v>5.0000000000000001E-3</v>
      </c>
      <c r="I4289" s="1">
        <v>5.0000000000000001E-3</v>
      </c>
      <c r="J4289" s="1">
        <v>0.41199999999999998</v>
      </c>
    </row>
    <row r="4290" spans="1:10" x14ac:dyDescent="0.2">
      <c r="A4290" t="str">
        <f>"25/05/2009"</f>
        <v>25/05/2009</v>
      </c>
      <c r="B4290">
        <v>1</v>
      </c>
      <c r="C4290">
        <v>19000</v>
      </c>
      <c r="D4290">
        <v>38361</v>
      </c>
      <c r="E4290">
        <v>19000</v>
      </c>
      <c r="F4290">
        <v>19000</v>
      </c>
      <c r="G4290" s="1">
        <v>5.0000000000000001E-3</v>
      </c>
      <c r="H4290" s="1">
        <v>5.0000000000000001E-3</v>
      </c>
      <c r="I4290" s="1">
        <v>5.0000000000000001E-3</v>
      </c>
      <c r="J4290" s="1">
        <v>0.4168</v>
      </c>
    </row>
    <row r="4291" spans="1:10" x14ac:dyDescent="0.2">
      <c r="A4291" t="str">
        <f>"24/05/2009"</f>
        <v>24/05/2009</v>
      </c>
      <c r="B4291">
        <v>1</v>
      </c>
      <c r="C4291">
        <v>18000</v>
      </c>
      <c r="D4291">
        <v>31054</v>
      </c>
      <c r="E4291">
        <v>18000</v>
      </c>
      <c r="F4291">
        <v>18000</v>
      </c>
      <c r="G4291" s="1">
        <v>5.0000000000000001E-3</v>
      </c>
      <c r="H4291" s="1">
        <v>5.0000000000000001E-3</v>
      </c>
      <c r="I4291" s="1">
        <v>5.0000000000000001E-3</v>
      </c>
      <c r="J4291" s="1">
        <v>0.51600000000000001</v>
      </c>
    </row>
    <row r="4292" spans="1:10" x14ac:dyDescent="0.2">
      <c r="A4292" t="str">
        <f>"21/05/2009"</f>
        <v>21/05/2009</v>
      </c>
      <c r="B4292">
        <v>3</v>
      </c>
      <c r="C4292">
        <v>19500</v>
      </c>
      <c r="D4292">
        <v>28640</v>
      </c>
      <c r="E4292">
        <v>19500</v>
      </c>
      <c r="F4292">
        <v>19500</v>
      </c>
      <c r="G4292" s="1">
        <v>5.0000000000000001E-3</v>
      </c>
      <c r="H4292" s="1">
        <v>5.0000000000000001E-3</v>
      </c>
      <c r="I4292" s="1">
        <v>5.0000000000000001E-3</v>
      </c>
      <c r="J4292" s="1">
        <v>0.62419999999999998</v>
      </c>
    </row>
    <row r="4293" spans="1:10" x14ac:dyDescent="0.2">
      <c r="A4293" t="str">
        <f>"20/05/2009"</f>
        <v>20/05/2009</v>
      </c>
      <c r="B4293">
        <v>1</v>
      </c>
      <c r="C4293">
        <v>18000</v>
      </c>
      <c r="D4293">
        <v>30089</v>
      </c>
      <c r="E4293">
        <v>18000</v>
      </c>
      <c r="F4293">
        <v>18000</v>
      </c>
      <c r="G4293" s="1">
        <v>5.0000000000000001E-3</v>
      </c>
      <c r="H4293" s="1">
        <v>5.0000000000000001E-3</v>
      </c>
      <c r="I4293" s="1">
        <v>5.0000000000000001E-3</v>
      </c>
      <c r="J4293" s="1">
        <v>0.50349999999999995</v>
      </c>
    </row>
    <row r="4294" spans="1:10" x14ac:dyDescent="0.2">
      <c r="A4294" t="str">
        <f>"19/05/2009"</f>
        <v>19/05/2009</v>
      </c>
      <c r="B4294">
        <v>1</v>
      </c>
      <c r="C4294">
        <v>18000</v>
      </c>
      <c r="D4294">
        <v>32650</v>
      </c>
      <c r="E4294">
        <v>18000</v>
      </c>
      <c r="F4294">
        <v>18000</v>
      </c>
      <c r="G4294" s="1">
        <v>5.0000000000000001E-3</v>
      </c>
      <c r="H4294" s="1">
        <v>5.0000000000000001E-3</v>
      </c>
      <c r="I4294" s="1">
        <v>5.0000000000000001E-3</v>
      </c>
      <c r="J4294" s="1">
        <v>0.48949999999999999</v>
      </c>
    </row>
    <row r="4295" spans="1:10" x14ac:dyDescent="0.2">
      <c r="A4295" t="str">
        <f>"18/05/2009"</f>
        <v>18/05/2009</v>
      </c>
      <c r="B4295">
        <v>1</v>
      </c>
      <c r="C4295">
        <v>19500</v>
      </c>
      <c r="D4295">
        <v>30417</v>
      </c>
      <c r="E4295">
        <v>19500</v>
      </c>
      <c r="F4295">
        <v>19500</v>
      </c>
      <c r="G4295" s="1">
        <v>5.0000000000000001E-3</v>
      </c>
      <c r="H4295" s="1">
        <v>5.0000000000000001E-3</v>
      </c>
      <c r="I4295" s="1">
        <v>5.0000000000000001E-3</v>
      </c>
      <c r="J4295" s="1">
        <v>0.5857</v>
      </c>
    </row>
    <row r="4296" spans="1:10" x14ac:dyDescent="0.2">
      <c r="A4296" t="str">
        <f>"17/05/2009"</f>
        <v>17/05/2009</v>
      </c>
      <c r="B4296">
        <v>1</v>
      </c>
      <c r="C4296">
        <v>18000</v>
      </c>
      <c r="D4296">
        <v>27788</v>
      </c>
      <c r="E4296">
        <v>18000</v>
      </c>
      <c r="F4296">
        <v>18000</v>
      </c>
      <c r="G4296" s="1">
        <v>5.0000000000000001E-3</v>
      </c>
      <c r="H4296" s="1">
        <v>5.0000000000000001E-3</v>
      </c>
      <c r="I4296" s="1">
        <v>5.0000000000000001E-3</v>
      </c>
      <c r="J4296" s="1">
        <v>0.6169</v>
      </c>
    </row>
    <row r="4297" spans="1:10" x14ac:dyDescent="0.2">
      <c r="A4297" t="str">
        <f>"14/05/2009"</f>
        <v>14/05/2009</v>
      </c>
      <c r="B4297">
        <v>3</v>
      </c>
      <c r="C4297">
        <v>27000</v>
      </c>
      <c r="D4297">
        <v>34973</v>
      </c>
      <c r="E4297">
        <v>27000</v>
      </c>
      <c r="F4297">
        <v>27000</v>
      </c>
      <c r="G4297" s="1">
        <v>5.0000000000000001E-3</v>
      </c>
      <c r="H4297" s="1">
        <v>5.0000000000000001E-3</v>
      </c>
      <c r="I4297" s="1">
        <v>5.0000000000000001E-3</v>
      </c>
      <c r="J4297" s="1">
        <v>0.75880000000000003</v>
      </c>
    </row>
    <row r="4298" spans="1:10" x14ac:dyDescent="0.2">
      <c r="A4298" t="str">
        <f>"13/05/2009"</f>
        <v>13/05/2009</v>
      </c>
      <c r="B4298">
        <v>1</v>
      </c>
      <c r="C4298">
        <v>25000</v>
      </c>
      <c r="D4298">
        <v>34318</v>
      </c>
      <c r="E4298">
        <v>25000</v>
      </c>
      <c r="F4298">
        <v>25000</v>
      </c>
      <c r="G4298" s="1">
        <v>5.0000000000000001E-3</v>
      </c>
      <c r="H4298" s="1">
        <v>5.0000000000000001E-3</v>
      </c>
      <c r="I4298" s="1">
        <v>5.0000000000000001E-3</v>
      </c>
      <c r="J4298" s="1">
        <v>0.70289999999999997</v>
      </c>
    </row>
    <row r="4299" spans="1:10" x14ac:dyDescent="0.2">
      <c r="A4299" t="str">
        <f>"12/05/2009"</f>
        <v>12/05/2009</v>
      </c>
      <c r="B4299">
        <v>1</v>
      </c>
      <c r="C4299">
        <v>25000</v>
      </c>
      <c r="D4299">
        <v>34060</v>
      </c>
      <c r="E4299">
        <v>25000</v>
      </c>
      <c r="F4299">
        <v>25000</v>
      </c>
      <c r="G4299" s="1">
        <v>5.0000000000000001E-3</v>
      </c>
      <c r="H4299" s="1">
        <v>5.0000000000000001E-3</v>
      </c>
      <c r="I4299" s="1">
        <v>5.0000000000000001E-3</v>
      </c>
      <c r="J4299" s="1">
        <v>0.70989999999999998</v>
      </c>
    </row>
    <row r="4300" spans="1:10" x14ac:dyDescent="0.2">
      <c r="A4300" t="str">
        <f>"11/05/2009"</f>
        <v>11/05/2009</v>
      </c>
      <c r="B4300">
        <v>1</v>
      </c>
      <c r="C4300">
        <v>25000</v>
      </c>
      <c r="D4300">
        <v>32970</v>
      </c>
      <c r="E4300">
        <v>25000</v>
      </c>
      <c r="F4300">
        <v>25000</v>
      </c>
      <c r="G4300" s="1">
        <v>5.0000000000000001E-3</v>
      </c>
      <c r="H4300" s="1">
        <v>5.0000000000000001E-3</v>
      </c>
      <c r="I4300" s="1">
        <v>5.0000000000000001E-3</v>
      </c>
      <c r="J4300" s="1">
        <v>0.73670000000000002</v>
      </c>
    </row>
    <row r="4301" spans="1:10" x14ac:dyDescent="0.2">
      <c r="A4301" t="str">
        <f>"10/05/2009"</f>
        <v>10/05/2009</v>
      </c>
      <c r="B4301">
        <v>1</v>
      </c>
      <c r="C4301">
        <v>24000</v>
      </c>
      <c r="D4301">
        <v>30626</v>
      </c>
      <c r="E4301">
        <v>24000</v>
      </c>
      <c r="F4301">
        <v>24000</v>
      </c>
      <c r="G4301" s="1">
        <v>5.0000000000000001E-3</v>
      </c>
      <c r="H4301" s="1">
        <v>5.0000000000000001E-3</v>
      </c>
      <c r="I4301" s="1">
        <v>5.0000000000000001E-3</v>
      </c>
      <c r="J4301" s="1">
        <v>0.76970000000000005</v>
      </c>
    </row>
    <row r="4302" spans="1:10" x14ac:dyDescent="0.2">
      <c r="A4302" t="str">
        <f>"07/05/2009"</f>
        <v>07/05/2009</v>
      </c>
      <c r="B4302">
        <v>3</v>
      </c>
      <c r="C4302">
        <v>24000</v>
      </c>
      <c r="D4302">
        <v>31944</v>
      </c>
      <c r="E4302">
        <v>24000</v>
      </c>
      <c r="F4302">
        <v>24000</v>
      </c>
      <c r="G4302" s="1">
        <v>5.0000000000000001E-3</v>
      </c>
      <c r="H4302" s="1">
        <v>5.0000000000000001E-3</v>
      </c>
      <c r="I4302" s="1">
        <v>5.0000000000000001E-3</v>
      </c>
      <c r="J4302" s="1">
        <v>0.72699999999999998</v>
      </c>
    </row>
    <row r="4303" spans="1:10" x14ac:dyDescent="0.2">
      <c r="A4303" t="str">
        <f>"06/05/2009"</f>
        <v>06/05/2009</v>
      </c>
      <c r="B4303">
        <v>1</v>
      </c>
      <c r="C4303">
        <v>27000</v>
      </c>
      <c r="D4303">
        <v>33566</v>
      </c>
      <c r="E4303">
        <v>27000</v>
      </c>
      <c r="F4303">
        <v>27000</v>
      </c>
      <c r="G4303" s="1">
        <v>5.0000000000000001E-3</v>
      </c>
      <c r="H4303" s="1">
        <v>5.0000000000000001E-3</v>
      </c>
      <c r="I4303" s="1">
        <v>5.0000000000000001E-3</v>
      </c>
      <c r="J4303" s="1">
        <v>0.79630000000000001</v>
      </c>
    </row>
    <row r="4304" spans="1:10" x14ac:dyDescent="0.2">
      <c r="A4304" t="str">
        <f>"05/05/2009"</f>
        <v>05/05/2009</v>
      </c>
      <c r="B4304">
        <v>1</v>
      </c>
      <c r="C4304">
        <v>27000</v>
      </c>
      <c r="D4304">
        <v>33957</v>
      </c>
      <c r="E4304">
        <v>27000</v>
      </c>
      <c r="F4304">
        <v>27000</v>
      </c>
      <c r="G4304" s="1">
        <v>5.0000000000000001E-3</v>
      </c>
      <c r="H4304" s="1">
        <v>5.0000000000000001E-3</v>
      </c>
      <c r="I4304" s="1">
        <v>5.0000000000000001E-3</v>
      </c>
      <c r="J4304" s="1">
        <v>0.78639999999999999</v>
      </c>
    </row>
    <row r="4305" spans="1:10" x14ac:dyDescent="0.2">
      <c r="A4305" t="str">
        <f>"04/05/2009"</f>
        <v>04/05/2009</v>
      </c>
      <c r="B4305">
        <v>1</v>
      </c>
      <c r="C4305">
        <v>26000</v>
      </c>
      <c r="D4305">
        <v>33327</v>
      </c>
      <c r="E4305">
        <v>26000</v>
      </c>
      <c r="F4305">
        <v>26000</v>
      </c>
      <c r="G4305" s="1">
        <v>5.0000000000000001E-3</v>
      </c>
      <c r="H4305" s="1">
        <v>5.0000000000000001E-3</v>
      </c>
      <c r="I4305" s="1">
        <v>5.0000000000000001E-3</v>
      </c>
      <c r="J4305" s="1">
        <v>0.76680000000000004</v>
      </c>
    </row>
    <row r="4306" spans="1:10" x14ac:dyDescent="0.2">
      <c r="A4306" t="str">
        <f>"03/05/2009"</f>
        <v>03/05/2009</v>
      </c>
      <c r="B4306">
        <v>1</v>
      </c>
      <c r="C4306">
        <v>25000</v>
      </c>
      <c r="D4306">
        <v>30519</v>
      </c>
      <c r="E4306">
        <v>25000</v>
      </c>
      <c r="F4306">
        <v>25000</v>
      </c>
      <c r="G4306" s="1">
        <v>5.0000000000000001E-3</v>
      </c>
      <c r="H4306" s="1">
        <v>5.0000000000000001E-3</v>
      </c>
      <c r="I4306" s="1">
        <v>5.0000000000000001E-3</v>
      </c>
      <c r="J4306" s="1">
        <v>0.8095</v>
      </c>
    </row>
    <row r="4307" spans="1:10" x14ac:dyDescent="0.2">
      <c r="A4307" t="str">
        <f>"30/04/2009"</f>
        <v>30/04/2009</v>
      </c>
      <c r="B4307">
        <v>3</v>
      </c>
      <c r="C4307">
        <v>21000</v>
      </c>
      <c r="D4307">
        <v>26380</v>
      </c>
      <c r="E4307">
        <v>21000</v>
      </c>
      <c r="F4307">
        <v>21000</v>
      </c>
      <c r="G4307" s="1">
        <v>5.0000000000000001E-3</v>
      </c>
      <c r="H4307" s="1">
        <v>5.0000000000000001E-3</v>
      </c>
      <c r="I4307" s="1">
        <v>5.0000000000000001E-3</v>
      </c>
      <c r="J4307" s="1">
        <v>0.77080000000000004</v>
      </c>
    </row>
    <row r="4308" spans="1:10" x14ac:dyDescent="0.2">
      <c r="A4308" t="str">
        <f>"28/04/2009"</f>
        <v>28/04/2009</v>
      </c>
      <c r="B4308">
        <v>2</v>
      </c>
      <c r="C4308">
        <v>17000</v>
      </c>
      <c r="D4308">
        <v>16465</v>
      </c>
      <c r="E4308">
        <v>16465</v>
      </c>
      <c r="F4308">
        <v>16465</v>
      </c>
      <c r="G4308" s="1">
        <v>5.0000000000000001E-3</v>
      </c>
      <c r="H4308" s="1">
        <v>4.7999999999999996E-3</v>
      </c>
      <c r="I4308" s="1">
        <v>4.7999999999999996E-3</v>
      </c>
      <c r="J4308" s="1">
        <v>1</v>
      </c>
    </row>
    <row r="4309" spans="1:10" x14ac:dyDescent="0.2">
      <c r="A4309" t="str">
        <f>"27/04/2009"</f>
        <v>27/04/2009</v>
      </c>
      <c r="B4309">
        <v>1</v>
      </c>
      <c r="C4309">
        <v>17000</v>
      </c>
      <c r="D4309">
        <v>25449</v>
      </c>
      <c r="E4309">
        <v>17000</v>
      </c>
      <c r="F4309">
        <v>17000</v>
      </c>
      <c r="G4309" s="1">
        <v>4.8999999999999998E-3</v>
      </c>
      <c r="H4309" s="1">
        <v>4.8999999999999998E-3</v>
      </c>
      <c r="I4309" s="1">
        <v>4.8999999999999998E-3</v>
      </c>
      <c r="J4309" s="1">
        <v>0.67479999999999996</v>
      </c>
    </row>
    <row r="4310" spans="1:10" x14ac:dyDescent="0.2">
      <c r="A4310" t="str">
        <f>"26/04/2009"</f>
        <v>26/04/2009</v>
      </c>
      <c r="B4310">
        <v>1</v>
      </c>
      <c r="C4310">
        <v>14000</v>
      </c>
      <c r="D4310">
        <v>26828</v>
      </c>
      <c r="E4310">
        <v>14000</v>
      </c>
      <c r="F4310">
        <v>14000</v>
      </c>
      <c r="G4310" s="1">
        <v>5.0000000000000001E-3</v>
      </c>
      <c r="H4310" s="1">
        <v>4.8999999999999998E-3</v>
      </c>
      <c r="I4310" s="1">
        <v>4.8999999999999998E-3</v>
      </c>
      <c r="J4310" s="1">
        <v>0.3322</v>
      </c>
    </row>
    <row r="4311" spans="1:10" x14ac:dyDescent="0.2">
      <c r="A4311" t="str">
        <f>"23/04/2009"</f>
        <v>23/04/2009</v>
      </c>
      <c r="B4311">
        <v>3</v>
      </c>
      <c r="C4311">
        <v>14500</v>
      </c>
      <c r="D4311">
        <v>22250</v>
      </c>
      <c r="E4311">
        <v>14500</v>
      </c>
      <c r="F4311">
        <v>14500</v>
      </c>
      <c r="G4311" s="1">
        <v>5.0000000000000001E-3</v>
      </c>
      <c r="H4311" s="1">
        <v>4.8999999999999998E-3</v>
      </c>
      <c r="I4311" s="1">
        <v>4.8999999999999998E-3</v>
      </c>
      <c r="J4311" s="1">
        <v>0.41820000000000002</v>
      </c>
    </row>
    <row r="4312" spans="1:10" x14ac:dyDescent="0.2">
      <c r="A4312" t="str">
        <f>"22/04/2009"</f>
        <v>22/04/2009</v>
      </c>
      <c r="B4312">
        <v>1</v>
      </c>
      <c r="C4312">
        <v>12000</v>
      </c>
      <c r="D4312">
        <v>24969</v>
      </c>
      <c r="E4312">
        <v>12000</v>
      </c>
      <c r="F4312">
        <v>12000</v>
      </c>
      <c r="G4312" s="1">
        <v>5.0000000000000001E-3</v>
      </c>
      <c r="H4312" s="1">
        <v>4.8999999999999998E-3</v>
      </c>
      <c r="I4312" s="1">
        <v>4.8999999999999998E-3</v>
      </c>
      <c r="J4312" s="1">
        <v>0.1237</v>
      </c>
    </row>
    <row r="4313" spans="1:10" x14ac:dyDescent="0.2">
      <c r="A4313" t="str">
        <f>"21/04/2009"</f>
        <v>21/04/2009</v>
      </c>
      <c r="B4313">
        <v>1</v>
      </c>
      <c r="C4313">
        <v>12500</v>
      </c>
      <c r="D4313">
        <v>19451</v>
      </c>
      <c r="E4313">
        <v>12500</v>
      </c>
      <c r="F4313">
        <v>12500</v>
      </c>
      <c r="G4313" s="1">
        <v>5.0000000000000001E-3</v>
      </c>
      <c r="H4313" s="1">
        <v>4.8999999999999998E-3</v>
      </c>
      <c r="I4313" s="1">
        <v>4.8999999999999998E-3</v>
      </c>
      <c r="J4313" s="1">
        <v>0.42549999999999999</v>
      </c>
    </row>
    <row r="4314" spans="1:10" x14ac:dyDescent="0.2">
      <c r="A4314" t="str">
        <f>"20/04/2009"</f>
        <v>20/04/2009</v>
      </c>
      <c r="B4314">
        <v>1</v>
      </c>
      <c r="C4314">
        <v>14000</v>
      </c>
      <c r="D4314">
        <v>23345</v>
      </c>
      <c r="E4314">
        <v>14000</v>
      </c>
      <c r="F4314">
        <v>14000</v>
      </c>
      <c r="G4314" s="1">
        <v>5.0000000000000001E-3</v>
      </c>
      <c r="H4314" s="1">
        <v>5.0000000000000001E-3</v>
      </c>
      <c r="I4314" s="1">
        <v>5.0000000000000001E-3</v>
      </c>
      <c r="J4314" s="1">
        <v>0.56110000000000004</v>
      </c>
    </row>
    <row r="4315" spans="1:10" x14ac:dyDescent="0.2">
      <c r="A4315" t="str">
        <f>"19/04/2009"</f>
        <v>19/04/2009</v>
      </c>
      <c r="B4315">
        <v>1</v>
      </c>
      <c r="C4315">
        <v>20500</v>
      </c>
      <c r="D4315">
        <v>28855</v>
      </c>
      <c r="E4315">
        <v>20500</v>
      </c>
      <c r="F4315">
        <v>20500</v>
      </c>
      <c r="G4315" s="1">
        <v>5.0000000000000001E-3</v>
      </c>
      <c r="H4315" s="1">
        <v>5.0000000000000001E-3</v>
      </c>
      <c r="I4315" s="1">
        <v>5.0000000000000001E-3</v>
      </c>
      <c r="J4315" s="1">
        <v>0.69010000000000005</v>
      </c>
    </row>
    <row r="4316" spans="1:10" x14ac:dyDescent="0.2">
      <c r="A4316" t="str">
        <f>"16/04/2009"</f>
        <v>16/04/2009</v>
      </c>
      <c r="B4316">
        <v>3</v>
      </c>
      <c r="C4316">
        <v>22000</v>
      </c>
      <c r="D4316">
        <v>26055</v>
      </c>
      <c r="E4316">
        <v>22000</v>
      </c>
      <c r="F4316">
        <v>22000</v>
      </c>
      <c r="G4316" s="1">
        <v>5.0000000000000001E-3</v>
      </c>
      <c r="H4316" s="1">
        <v>5.0000000000000001E-3</v>
      </c>
      <c r="I4316" s="1">
        <v>5.0000000000000001E-3</v>
      </c>
      <c r="J4316" s="1">
        <v>0.83379999999999999</v>
      </c>
    </row>
    <row r="4317" spans="1:10" x14ac:dyDescent="0.2">
      <c r="A4317" t="str">
        <f>"13/04/2009"</f>
        <v>13/04/2009</v>
      </c>
      <c r="B4317">
        <v>3</v>
      </c>
      <c r="C4317">
        <v>19000</v>
      </c>
      <c r="D4317">
        <v>22020</v>
      </c>
      <c r="E4317">
        <v>19000</v>
      </c>
      <c r="F4317">
        <v>19000</v>
      </c>
      <c r="G4317" s="1">
        <v>5.0000000000000001E-3</v>
      </c>
      <c r="H4317" s="1">
        <v>5.0000000000000001E-3</v>
      </c>
      <c r="I4317" s="1">
        <v>5.0000000000000001E-3</v>
      </c>
      <c r="J4317" s="1">
        <v>0.84509999999999996</v>
      </c>
    </row>
    <row r="4318" spans="1:10" x14ac:dyDescent="0.2">
      <c r="A4318" t="str">
        <f>"12/04/2009"</f>
        <v>12/04/2009</v>
      </c>
      <c r="B4318">
        <v>1</v>
      </c>
      <c r="C4318">
        <v>20000</v>
      </c>
      <c r="D4318">
        <v>24890</v>
      </c>
      <c r="E4318">
        <v>20000</v>
      </c>
      <c r="F4318">
        <v>20000</v>
      </c>
      <c r="G4318" s="1">
        <v>5.0000000000000001E-3</v>
      </c>
      <c r="H4318" s="1">
        <v>5.0000000000000001E-3</v>
      </c>
      <c r="I4318" s="1">
        <v>5.0000000000000001E-3</v>
      </c>
      <c r="J4318" s="1">
        <v>0.78359999999999996</v>
      </c>
    </row>
    <row r="4319" spans="1:10" x14ac:dyDescent="0.2">
      <c r="A4319" t="str">
        <f>"07/04/2009"</f>
        <v>07/04/2009</v>
      </c>
      <c r="B4319">
        <v>5</v>
      </c>
      <c r="C4319">
        <v>21000</v>
      </c>
      <c r="D4319">
        <v>21706</v>
      </c>
      <c r="E4319">
        <v>21000</v>
      </c>
      <c r="F4319">
        <v>21000</v>
      </c>
      <c r="G4319" s="1">
        <v>5.0000000000000001E-3</v>
      </c>
      <c r="H4319" s="1">
        <v>5.0000000000000001E-3</v>
      </c>
      <c r="I4319" s="1">
        <v>5.0000000000000001E-3</v>
      </c>
      <c r="J4319" s="1">
        <v>0.95309999999999995</v>
      </c>
    </row>
    <row r="4320" spans="1:10" x14ac:dyDescent="0.2">
      <c r="A4320" t="str">
        <f>"06/04/2009"</f>
        <v>06/04/2009</v>
      </c>
      <c r="B4320">
        <v>1</v>
      </c>
      <c r="C4320">
        <v>26000</v>
      </c>
      <c r="D4320">
        <v>33968</v>
      </c>
      <c r="E4320">
        <v>26000</v>
      </c>
      <c r="F4320">
        <v>26000</v>
      </c>
      <c r="G4320" s="1">
        <v>5.0000000000000001E-3</v>
      </c>
      <c r="H4320" s="1">
        <v>5.0000000000000001E-3</v>
      </c>
      <c r="I4320" s="1">
        <v>5.0000000000000001E-3</v>
      </c>
      <c r="J4320" s="1">
        <v>0.68320000000000003</v>
      </c>
    </row>
    <row r="4321" spans="1:10" x14ac:dyDescent="0.2">
      <c r="A4321" t="str">
        <f>"05/04/2009"</f>
        <v>05/04/2009</v>
      </c>
      <c r="B4321">
        <v>1</v>
      </c>
      <c r="C4321">
        <v>25000</v>
      </c>
      <c r="D4321">
        <v>29585</v>
      </c>
      <c r="E4321">
        <v>25000</v>
      </c>
      <c r="F4321">
        <v>25000</v>
      </c>
      <c r="G4321" s="1">
        <v>5.0000000000000001E-3</v>
      </c>
      <c r="H4321" s="1">
        <v>5.0000000000000001E-3</v>
      </c>
      <c r="I4321" s="1">
        <v>5.0000000000000001E-3</v>
      </c>
      <c r="J4321" s="1">
        <v>0.82320000000000004</v>
      </c>
    </row>
    <row r="4322" spans="1:10" x14ac:dyDescent="0.2">
      <c r="A4322" t="str">
        <f>"02/04/2009"</f>
        <v>02/04/2009</v>
      </c>
      <c r="B4322">
        <v>3</v>
      </c>
      <c r="C4322">
        <v>25000</v>
      </c>
      <c r="D4322">
        <v>23550</v>
      </c>
      <c r="E4322">
        <v>23550</v>
      </c>
      <c r="F4322">
        <v>23550</v>
      </c>
      <c r="G4322" s="1">
        <v>5.0000000000000001E-3</v>
      </c>
      <c r="H4322" s="1">
        <v>5.0000000000000001E-3</v>
      </c>
      <c r="I4322" s="1">
        <v>5.0000000000000001E-3</v>
      </c>
      <c r="J4322" s="1">
        <v>1</v>
      </c>
    </row>
    <row r="4323" spans="1:10" x14ac:dyDescent="0.2">
      <c r="A4323" t="str">
        <f>"01/04/2009"</f>
        <v>01/04/2009</v>
      </c>
      <c r="B4323">
        <v>1</v>
      </c>
      <c r="C4323">
        <v>34500</v>
      </c>
      <c r="D4323">
        <v>34837</v>
      </c>
      <c r="E4323">
        <v>34500</v>
      </c>
      <c r="F4323">
        <v>34500</v>
      </c>
      <c r="G4323" s="1">
        <v>5.0000000000000001E-3</v>
      </c>
      <c r="H4323" s="1">
        <v>5.0000000000000001E-3</v>
      </c>
      <c r="I4323" s="1">
        <v>5.0000000000000001E-3</v>
      </c>
      <c r="J4323" s="1">
        <v>0.98970000000000002</v>
      </c>
    </row>
    <row r="4324" spans="1:10" x14ac:dyDescent="0.2">
      <c r="A4324" t="str">
        <f>"31/03/2009"</f>
        <v>31/03/2009</v>
      </c>
      <c r="B4324">
        <v>1</v>
      </c>
      <c r="C4324">
        <v>25000</v>
      </c>
      <c r="D4324">
        <v>24493</v>
      </c>
      <c r="E4324">
        <v>24493</v>
      </c>
      <c r="F4324">
        <v>24493</v>
      </c>
      <c r="G4324" s="1">
        <v>5.0000000000000001E-3</v>
      </c>
      <c r="H4324" s="1">
        <v>5.0000000000000001E-3</v>
      </c>
      <c r="I4324" s="1">
        <v>5.0000000000000001E-3</v>
      </c>
      <c r="J4324" s="1">
        <v>1</v>
      </c>
    </row>
    <row r="4325" spans="1:10" x14ac:dyDescent="0.2">
      <c r="A4325" t="str">
        <f>"30/03/2009"</f>
        <v>30/03/2009</v>
      </c>
      <c r="B4325">
        <v>1</v>
      </c>
      <c r="C4325">
        <v>20500</v>
      </c>
      <c r="D4325">
        <v>24022</v>
      </c>
      <c r="E4325">
        <v>20500</v>
      </c>
      <c r="F4325">
        <v>20500</v>
      </c>
      <c r="G4325" s="1">
        <v>5.0000000000000001E-3</v>
      </c>
      <c r="H4325" s="1">
        <v>5.0000000000000001E-3</v>
      </c>
      <c r="I4325" s="1">
        <v>5.0000000000000001E-3</v>
      </c>
      <c r="J4325" s="1">
        <v>0.84279999999999999</v>
      </c>
    </row>
    <row r="4326" spans="1:10" x14ac:dyDescent="0.2">
      <c r="A4326" t="str">
        <f>"29/03/2009"</f>
        <v>29/03/2009</v>
      </c>
      <c r="B4326">
        <v>1</v>
      </c>
      <c r="C4326">
        <v>19500</v>
      </c>
      <c r="D4326">
        <v>23637</v>
      </c>
      <c r="E4326">
        <v>19500</v>
      </c>
      <c r="F4326">
        <v>19500</v>
      </c>
      <c r="G4326" s="1">
        <v>5.0000000000000001E-3</v>
      </c>
      <c r="H4326" s="1">
        <v>5.0000000000000001E-3</v>
      </c>
      <c r="I4326" s="1">
        <v>5.0000000000000001E-3</v>
      </c>
      <c r="J4326" s="1">
        <v>0.81399999999999995</v>
      </c>
    </row>
    <row r="4327" spans="1:10" x14ac:dyDescent="0.2">
      <c r="A4327" t="str">
        <f>"26/03/2009"</f>
        <v>26/03/2009</v>
      </c>
      <c r="B4327">
        <v>3</v>
      </c>
      <c r="C4327">
        <v>17500</v>
      </c>
      <c r="D4327">
        <v>21810</v>
      </c>
      <c r="E4327">
        <v>17500</v>
      </c>
      <c r="F4327">
        <v>17500</v>
      </c>
      <c r="G4327" s="1">
        <v>5.0000000000000001E-3</v>
      </c>
      <c r="H4327" s="1">
        <v>5.0000000000000001E-3</v>
      </c>
      <c r="I4327" s="1">
        <v>5.0000000000000001E-3</v>
      </c>
      <c r="J4327" s="1">
        <v>0.76200000000000001</v>
      </c>
    </row>
    <row r="4328" spans="1:10" x14ac:dyDescent="0.2">
      <c r="A4328" t="str">
        <f>"25/03/2009"</f>
        <v>25/03/2009</v>
      </c>
      <c r="B4328">
        <v>1</v>
      </c>
      <c r="C4328">
        <v>12000</v>
      </c>
      <c r="D4328">
        <v>11818</v>
      </c>
      <c r="E4328">
        <v>11818</v>
      </c>
      <c r="F4328">
        <v>11818</v>
      </c>
      <c r="G4328" s="1">
        <v>7.4000000000000003E-3</v>
      </c>
      <c r="H4328" s="1">
        <v>7.1999999999999998E-3</v>
      </c>
      <c r="I4328" s="1">
        <v>7.1999999999999998E-3</v>
      </c>
      <c r="J4328" s="1">
        <v>1</v>
      </c>
    </row>
    <row r="4329" spans="1:10" x14ac:dyDescent="0.2">
      <c r="A4329" t="str">
        <f>"24/03/2009"</f>
        <v>24/03/2009</v>
      </c>
      <c r="B4329">
        <v>1</v>
      </c>
      <c r="C4329">
        <v>12500</v>
      </c>
      <c r="D4329">
        <v>16594</v>
      </c>
      <c r="E4329">
        <v>12500</v>
      </c>
      <c r="F4329">
        <v>12500</v>
      </c>
      <c r="G4329" s="1">
        <v>7.4999999999999997E-3</v>
      </c>
      <c r="H4329" s="1">
        <v>7.3000000000000001E-3</v>
      </c>
      <c r="I4329" s="1">
        <v>7.3000000000000001E-3</v>
      </c>
      <c r="J4329" s="1">
        <v>0.2419</v>
      </c>
    </row>
    <row r="4330" spans="1:10" x14ac:dyDescent="0.2">
      <c r="A4330" t="str">
        <f>"23/03/2009"</f>
        <v>23/03/2009</v>
      </c>
      <c r="B4330">
        <v>1</v>
      </c>
      <c r="C4330">
        <v>13500</v>
      </c>
      <c r="D4330">
        <v>25790</v>
      </c>
      <c r="E4330">
        <v>13500</v>
      </c>
      <c r="F4330">
        <v>13500</v>
      </c>
      <c r="G4330" s="1">
        <v>7.4999999999999997E-3</v>
      </c>
      <c r="H4330" s="1">
        <v>7.4999999999999997E-3</v>
      </c>
      <c r="I4330" s="1">
        <v>7.4999999999999997E-3</v>
      </c>
      <c r="J4330" s="1">
        <v>0.39460000000000001</v>
      </c>
    </row>
    <row r="4331" spans="1:10" x14ac:dyDescent="0.2">
      <c r="A4331" t="str">
        <f>"22/03/2009"</f>
        <v>22/03/2009</v>
      </c>
      <c r="B4331">
        <v>1</v>
      </c>
      <c r="C4331">
        <v>14000</v>
      </c>
      <c r="D4331">
        <v>21402</v>
      </c>
      <c r="E4331">
        <v>14000</v>
      </c>
      <c r="F4331">
        <v>14000</v>
      </c>
      <c r="G4331" s="1">
        <v>7.4999999999999997E-3</v>
      </c>
      <c r="H4331" s="1">
        <v>7.4999999999999997E-3</v>
      </c>
      <c r="I4331" s="1">
        <v>7.4999999999999997E-3</v>
      </c>
      <c r="J4331" s="1">
        <v>0.56559999999999999</v>
      </c>
    </row>
    <row r="4332" spans="1:10" x14ac:dyDescent="0.2">
      <c r="A4332" t="str">
        <f>"19/03/2009"</f>
        <v>19/03/2009</v>
      </c>
      <c r="B4332">
        <v>3</v>
      </c>
      <c r="C4332">
        <v>16000</v>
      </c>
      <c r="D4332">
        <v>25050</v>
      </c>
      <c r="E4332">
        <v>16000</v>
      </c>
      <c r="F4332">
        <v>16000</v>
      </c>
      <c r="G4332" s="1">
        <v>7.4999999999999997E-3</v>
      </c>
      <c r="H4332" s="1">
        <v>7.4999999999999997E-3</v>
      </c>
      <c r="I4332" s="1">
        <v>7.4999999999999997E-3</v>
      </c>
      <c r="J4332" s="1">
        <v>0.56899999999999995</v>
      </c>
    </row>
    <row r="4333" spans="1:10" x14ac:dyDescent="0.2">
      <c r="A4333" t="str">
        <f>"18/03/2009"</f>
        <v>18/03/2009</v>
      </c>
      <c r="B4333">
        <v>1</v>
      </c>
      <c r="C4333">
        <v>15000</v>
      </c>
      <c r="D4333">
        <v>22549</v>
      </c>
      <c r="E4333">
        <v>15000</v>
      </c>
      <c r="F4333">
        <v>15000</v>
      </c>
      <c r="G4333" s="1">
        <v>7.4999999999999997E-3</v>
      </c>
      <c r="H4333" s="1">
        <v>7.4999999999999997E-3</v>
      </c>
      <c r="I4333" s="1">
        <v>7.4999999999999997E-3</v>
      </c>
      <c r="J4333" s="1">
        <v>0.59740000000000004</v>
      </c>
    </row>
    <row r="4334" spans="1:10" x14ac:dyDescent="0.2">
      <c r="A4334" t="str">
        <f>"17/03/2009"</f>
        <v>17/03/2009</v>
      </c>
      <c r="B4334">
        <v>1</v>
      </c>
      <c r="C4334">
        <v>14500</v>
      </c>
      <c r="D4334">
        <v>22275</v>
      </c>
      <c r="E4334">
        <v>14500</v>
      </c>
      <c r="F4334">
        <v>14500</v>
      </c>
      <c r="G4334" s="1">
        <v>7.4999999999999997E-3</v>
      </c>
      <c r="H4334" s="1">
        <v>7.4999999999999997E-3</v>
      </c>
      <c r="I4334" s="1">
        <v>7.4999999999999997E-3</v>
      </c>
      <c r="J4334" s="1">
        <v>0.6341</v>
      </c>
    </row>
    <row r="4335" spans="1:10" x14ac:dyDescent="0.2">
      <c r="A4335" t="str">
        <f>"16/03/2009"</f>
        <v>16/03/2009</v>
      </c>
      <c r="B4335">
        <v>1</v>
      </c>
      <c r="C4335">
        <v>16000</v>
      </c>
      <c r="D4335">
        <v>22233</v>
      </c>
      <c r="E4335">
        <v>16000</v>
      </c>
      <c r="F4335">
        <v>16000</v>
      </c>
      <c r="G4335" s="1">
        <v>7.4999999999999997E-3</v>
      </c>
      <c r="H4335" s="1">
        <v>7.4999999999999997E-3</v>
      </c>
      <c r="I4335" s="1">
        <v>7.4999999999999997E-3</v>
      </c>
      <c r="J4335" s="1">
        <v>0.69830000000000003</v>
      </c>
    </row>
    <row r="4336" spans="1:10" x14ac:dyDescent="0.2">
      <c r="A4336" t="str">
        <f>"15/03/2009"</f>
        <v>15/03/2009</v>
      </c>
      <c r="B4336">
        <v>1</v>
      </c>
      <c r="C4336">
        <v>22500</v>
      </c>
      <c r="D4336">
        <v>28565</v>
      </c>
      <c r="E4336">
        <v>22500</v>
      </c>
      <c r="F4336">
        <v>22500</v>
      </c>
      <c r="G4336" s="1">
        <v>7.4999999999999997E-3</v>
      </c>
      <c r="H4336" s="1">
        <v>7.4999999999999997E-3</v>
      </c>
      <c r="I4336" s="1">
        <v>7.4999999999999997E-3</v>
      </c>
      <c r="J4336" s="1">
        <v>0.78049999999999997</v>
      </c>
    </row>
    <row r="4337" spans="1:10" x14ac:dyDescent="0.2">
      <c r="A4337" t="str">
        <f>"12/03/2009"</f>
        <v>12/03/2009</v>
      </c>
      <c r="B4337">
        <v>3</v>
      </c>
      <c r="C4337">
        <v>25000</v>
      </c>
      <c r="D4337">
        <v>23447</v>
      </c>
      <c r="E4337">
        <v>23447</v>
      </c>
      <c r="F4337">
        <v>23447</v>
      </c>
      <c r="G4337" s="1">
        <v>7.4999999999999997E-3</v>
      </c>
      <c r="H4337" s="1">
        <v>7.4999999999999997E-3</v>
      </c>
      <c r="I4337" s="1">
        <v>7.4999999999999997E-3</v>
      </c>
      <c r="J4337" s="1">
        <v>1</v>
      </c>
    </row>
    <row r="4338" spans="1:10" x14ac:dyDescent="0.2">
      <c r="A4338" t="str">
        <f>"09/03/2009"</f>
        <v>09/03/2009</v>
      </c>
      <c r="B4338">
        <v>3</v>
      </c>
      <c r="C4338">
        <v>17000</v>
      </c>
      <c r="D4338">
        <v>16410</v>
      </c>
      <c r="E4338">
        <v>16410</v>
      </c>
      <c r="F4338">
        <v>16410</v>
      </c>
      <c r="G4338" s="1">
        <v>7.4999999999999997E-3</v>
      </c>
      <c r="H4338" s="1">
        <v>7.4999999999999997E-3</v>
      </c>
      <c r="I4338" s="1">
        <v>7.4999999999999997E-3</v>
      </c>
      <c r="J4338" s="1">
        <v>1</v>
      </c>
    </row>
    <row r="4339" spans="1:10" x14ac:dyDescent="0.2">
      <c r="A4339" t="str">
        <f>"08/03/2009"</f>
        <v>08/03/2009</v>
      </c>
      <c r="B4339">
        <v>1</v>
      </c>
      <c r="C4339">
        <v>17000</v>
      </c>
      <c r="D4339">
        <v>17871</v>
      </c>
      <c r="E4339">
        <v>17000</v>
      </c>
      <c r="F4339">
        <v>17000</v>
      </c>
      <c r="G4339" s="1">
        <v>7.4999999999999997E-3</v>
      </c>
      <c r="H4339" s="1">
        <v>7.4999999999999997E-3</v>
      </c>
      <c r="I4339" s="1">
        <v>7.4999999999999997E-3</v>
      </c>
      <c r="J4339" s="1">
        <v>0.94499999999999995</v>
      </c>
    </row>
    <row r="4340" spans="1:10" x14ac:dyDescent="0.2">
      <c r="A4340" t="str">
        <f>"05/03/2009"</f>
        <v>05/03/2009</v>
      </c>
      <c r="B4340">
        <v>3</v>
      </c>
      <c r="C4340">
        <v>17000</v>
      </c>
      <c r="D4340">
        <v>18295</v>
      </c>
      <c r="E4340">
        <v>17000</v>
      </c>
      <c r="F4340">
        <v>17000</v>
      </c>
      <c r="G4340" s="1">
        <v>7.4999999999999997E-3</v>
      </c>
      <c r="H4340" s="1">
        <v>7.4999999999999997E-3</v>
      </c>
      <c r="I4340" s="1">
        <v>7.4999999999999997E-3</v>
      </c>
      <c r="J4340" s="1">
        <v>0.92220000000000002</v>
      </c>
    </row>
    <row r="4341" spans="1:10" x14ac:dyDescent="0.2">
      <c r="A4341" t="str">
        <f>"04/03/2009"</f>
        <v>04/03/2009</v>
      </c>
      <c r="B4341">
        <v>1</v>
      </c>
      <c r="C4341">
        <v>27000</v>
      </c>
      <c r="D4341">
        <v>30739</v>
      </c>
      <c r="E4341">
        <v>27000</v>
      </c>
      <c r="F4341">
        <v>27000</v>
      </c>
      <c r="G4341" s="1">
        <v>7.4999999999999997E-3</v>
      </c>
      <c r="H4341" s="1">
        <v>7.4999999999999997E-3</v>
      </c>
      <c r="I4341" s="1">
        <v>7.4999999999999997E-3</v>
      </c>
      <c r="J4341" s="1">
        <v>0.86480000000000001</v>
      </c>
    </row>
    <row r="4342" spans="1:10" x14ac:dyDescent="0.2">
      <c r="A4342" t="str">
        <f>"03/03/2009"</f>
        <v>03/03/2009</v>
      </c>
      <c r="B4342">
        <v>1</v>
      </c>
      <c r="C4342">
        <v>26000</v>
      </c>
      <c r="D4342">
        <v>30944</v>
      </c>
      <c r="E4342">
        <v>26000</v>
      </c>
      <c r="F4342">
        <v>26000</v>
      </c>
      <c r="G4342" s="1">
        <v>7.4999999999999997E-3</v>
      </c>
      <c r="H4342" s="1">
        <v>7.4999999999999997E-3</v>
      </c>
      <c r="I4342" s="1">
        <v>7.4999999999999997E-3</v>
      </c>
      <c r="J4342" s="1">
        <v>0.82220000000000004</v>
      </c>
    </row>
    <row r="4343" spans="1:10" x14ac:dyDescent="0.2">
      <c r="A4343" t="str">
        <f>"02/03/2009"</f>
        <v>02/03/2009</v>
      </c>
      <c r="B4343">
        <v>1</v>
      </c>
      <c r="C4343">
        <v>26000</v>
      </c>
      <c r="D4343">
        <v>29502</v>
      </c>
      <c r="E4343">
        <v>26000</v>
      </c>
      <c r="F4343">
        <v>26000</v>
      </c>
      <c r="G4343" s="1">
        <v>7.4999999999999997E-3</v>
      </c>
      <c r="H4343" s="1">
        <v>7.4999999999999997E-3</v>
      </c>
      <c r="I4343" s="1">
        <v>7.4999999999999997E-3</v>
      </c>
      <c r="J4343" s="1">
        <v>0.86609999999999998</v>
      </c>
    </row>
    <row r="4344" spans="1:10" x14ac:dyDescent="0.2">
      <c r="A4344" t="str">
        <f>"01/03/2009"</f>
        <v>01/03/2009</v>
      </c>
      <c r="B4344">
        <v>1</v>
      </c>
      <c r="C4344">
        <v>24000</v>
      </c>
      <c r="D4344">
        <v>29322</v>
      </c>
      <c r="E4344">
        <v>24000</v>
      </c>
      <c r="F4344">
        <v>24000</v>
      </c>
      <c r="G4344" s="1">
        <v>7.4999999999999997E-3</v>
      </c>
      <c r="H4344" s="1">
        <v>7.4999999999999997E-3</v>
      </c>
      <c r="I4344" s="1">
        <v>7.4999999999999997E-3</v>
      </c>
      <c r="J4344" s="1">
        <v>0.76349999999999996</v>
      </c>
    </row>
    <row r="4345" spans="1:10" x14ac:dyDescent="0.2">
      <c r="A4345" t="str">
        <f>"27/02/2009"</f>
        <v>27/02/2009</v>
      </c>
      <c r="B4345">
        <v>2</v>
      </c>
      <c r="C4345">
        <v>15000</v>
      </c>
      <c r="D4345">
        <v>8950</v>
      </c>
      <c r="E4345">
        <v>8950</v>
      </c>
      <c r="F4345">
        <v>8950</v>
      </c>
      <c r="G4345" s="1">
        <v>7.4999999999999997E-3</v>
      </c>
      <c r="H4345" s="1">
        <v>7.4999999999999997E-3</v>
      </c>
      <c r="I4345" s="1">
        <v>7.4999999999999997E-3</v>
      </c>
      <c r="J4345" s="1">
        <v>1</v>
      </c>
    </row>
    <row r="4346" spans="1:10" x14ac:dyDescent="0.2">
      <c r="A4346" t="str">
        <f>"26/02/2009"</f>
        <v>26/02/2009</v>
      </c>
      <c r="B4346">
        <v>3</v>
      </c>
      <c r="C4346">
        <v>4500</v>
      </c>
      <c r="D4346">
        <v>8020</v>
      </c>
      <c r="E4346">
        <v>4500</v>
      </c>
      <c r="F4346">
        <v>4500</v>
      </c>
      <c r="G4346" s="1">
        <v>7.4999999999999997E-3</v>
      </c>
      <c r="H4346" s="1">
        <v>7.4999999999999997E-3</v>
      </c>
      <c r="I4346" s="1">
        <v>7.4999999999999997E-3</v>
      </c>
      <c r="J4346" s="1">
        <v>0.50280000000000002</v>
      </c>
    </row>
    <row r="4347" spans="1:10" x14ac:dyDescent="0.2">
      <c r="A4347" t="str">
        <f>"25/02/2009"</f>
        <v>25/02/2009</v>
      </c>
      <c r="B4347">
        <v>1</v>
      </c>
      <c r="C4347">
        <v>4500</v>
      </c>
      <c r="D4347">
        <v>5729</v>
      </c>
      <c r="E4347">
        <v>4500</v>
      </c>
      <c r="F4347">
        <v>4500</v>
      </c>
      <c r="G4347" s="1">
        <v>9.7999999999999997E-3</v>
      </c>
      <c r="H4347" s="1">
        <v>9.7000000000000003E-3</v>
      </c>
      <c r="I4347" s="1">
        <v>9.7000000000000003E-3</v>
      </c>
      <c r="J4347" s="1">
        <v>0.76060000000000005</v>
      </c>
    </row>
    <row r="4348" spans="1:10" x14ac:dyDescent="0.2">
      <c r="A4348" t="str">
        <f>"24/02/2009"</f>
        <v>24/02/2009</v>
      </c>
      <c r="B4348">
        <v>1</v>
      </c>
      <c r="C4348">
        <v>4500</v>
      </c>
      <c r="D4348">
        <v>7905</v>
      </c>
      <c r="E4348">
        <v>4500</v>
      </c>
      <c r="F4348">
        <v>4500</v>
      </c>
      <c r="G4348" s="1">
        <v>0.01</v>
      </c>
      <c r="H4348" s="1">
        <v>9.9000000000000008E-3</v>
      </c>
      <c r="I4348" s="1">
        <v>9.9000000000000008E-3</v>
      </c>
      <c r="J4348" s="1">
        <v>0.42770000000000002</v>
      </c>
    </row>
    <row r="4349" spans="1:10" x14ac:dyDescent="0.2">
      <c r="A4349" t="str">
        <f>"23/02/2009"</f>
        <v>23/02/2009</v>
      </c>
      <c r="B4349">
        <v>1</v>
      </c>
      <c r="C4349">
        <v>5000</v>
      </c>
      <c r="D4349">
        <v>12512</v>
      </c>
      <c r="E4349">
        <v>5000</v>
      </c>
      <c r="F4349">
        <v>5000</v>
      </c>
      <c r="G4349" s="1">
        <v>0.01</v>
      </c>
      <c r="H4349" s="1">
        <v>9.9000000000000008E-3</v>
      </c>
      <c r="I4349" s="1">
        <v>9.9000000000000008E-3</v>
      </c>
      <c r="J4349" s="1">
        <v>0.22559999999999999</v>
      </c>
    </row>
    <row r="4350" spans="1:10" x14ac:dyDescent="0.2">
      <c r="A4350" t="str">
        <f>"22/02/2009"</f>
        <v>22/02/2009</v>
      </c>
      <c r="B4350">
        <v>1</v>
      </c>
      <c r="C4350">
        <v>5000</v>
      </c>
      <c r="D4350">
        <v>11755</v>
      </c>
      <c r="E4350">
        <v>5000</v>
      </c>
      <c r="F4350">
        <v>5000</v>
      </c>
      <c r="G4350" s="1">
        <v>0.01</v>
      </c>
      <c r="H4350" s="1">
        <v>9.9000000000000008E-3</v>
      </c>
      <c r="I4350" s="1">
        <v>9.9000000000000008E-3</v>
      </c>
      <c r="J4350" s="1">
        <v>0.16089999999999999</v>
      </c>
    </row>
    <row r="4351" spans="1:10" x14ac:dyDescent="0.2">
      <c r="A4351" t="str">
        <f>"19/02/2009"</f>
        <v>19/02/2009</v>
      </c>
      <c r="B4351">
        <v>3</v>
      </c>
      <c r="C4351">
        <v>7500</v>
      </c>
      <c r="D4351">
        <v>8518</v>
      </c>
      <c r="E4351">
        <v>7500</v>
      </c>
      <c r="F4351">
        <v>7500</v>
      </c>
      <c r="G4351" s="1">
        <v>0.01</v>
      </c>
      <c r="H4351" s="1">
        <v>9.9000000000000008E-3</v>
      </c>
      <c r="I4351" s="1">
        <v>9.9000000000000008E-3</v>
      </c>
      <c r="J4351" s="1">
        <v>0.52649999999999997</v>
      </c>
    </row>
    <row r="4352" spans="1:10" x14ac:dyDescent="0.2">
      <c r="A4352" t="str">
        <f>"18/02/2009"</f>
        <v>18/02/2009</v>
      </c>
      <c r="B4352">
        <v>1</v>
      </c>
      <c r="C4352">
        <v>7000</v>
      </c>
      <c r="D4352">
        <v>13954</v>
      </c>
      <c r="E4352">
        <v>7000</v>
      </c>
      <c r="F4352">
        <v>7000</v>
      </c>
      <c r="G4352" s="1">
        <v>0.01</v>
      </c>
      <c r="H4352" s="1">
        <v>9.9000000000000008E-3</v>
      </c>
      <c r="I4352" s="1">
        <v>9.9000000000000008E-3</v>
      </c>
      <c r="J4352" s="1">
        <v>0.26019999999999999</v>
      </c>
    </row>
    <row r="4353" spans="1:10" x14ac:dyDescent="0.2">
      <c r="A4353" t="str">
        <f>"17/02/2009"</f>
        <v>17/02/2009</v>
      </c>
      <c r="B4353">
        <v>1</v>
      </c>
      <c r="C4353">
        <v>7000</v>
      </c>
      <c r="D4353">
        <v>15481</v>
      </c>
      <c r="E4353">
        <v>7000</v>
      </c>
      <c r="F4353">
        <v>7000</v>
      </c>
      <c r="G4353" s="1">
        <v>0.01</v>
      </c>
      <c r="H4353" s="1">
        <v>9.9000000000000008E-3</v>
      </c>
      <c r="I4353" s="1">
        <v>9.9000000000000008E-3</v>
      </c>
      <c r="J4353" s="1">
        <v>0.24279999999999999</v>
      </c>
    </row>
    <row r="4354" spans="1:10" x14ac:dyDescent="0.2">
      <c r="A4354" t="str">
        <f>"16/02/2009"</f>
        <v>16/02/2009</v>
      </c>
      <c r="B4354">
        <v>1</v>
      </c>
      <c r="C4354">
        <v>9500</v>
      </c>
      <c r="D4354">
        <v>15207</v>
      </c>
      <c r="E4354">
        <v>9500</v>
      </c>
      <c r="F4354">
        <v>9500</v>
      </c>
      <c r="G4354" s="1">
        <v>0.01</v>
      </c>
      <c r="H4354" s="1">
        <v>0.01</v>
      </c>
      <c r="I4354" s="1">
        <v>0.01</v>
      </c>
      <c r="J4354" s="1">
        <v>0.53110000000000002</v>
      </c>
    </row>
    <row r="4355" spans="1:10" x14ac:dyDescent="0.2">
      <c r="A4355" t="str">
        <f>"15/02/2009"</f>
        <v>15/02/2009</v>
      </c>
      <c r="B4355">
        <v>1</v>
      </c>
      <c r="C4355">
        <v>16000</v>
      </c>
      <c r="D4355">
        <v>17613</v>
      </c>
      <c r="E4355">
        <v>16000</v>
      </c>
      <c r="F4355">
        <v>16000</v>
      </c>
      <c r="G4355" s="1">
        <v>0.01</v>
      </c>
      <c r="H4355" s="1">
        <v>0.01</v>
      </c>
      <c r="I4355" s="1">
        <v>0.01</v>
      </c>
      <c r="J4355" s="1">
        <v>0.90280000000000005</v>
      </c>
    </row>
    <row r="4356" spans="1:10" x14ac:dyDescent="0.2">
      <c r="A4356" t="str">
        <f>"12/02/2009"</f>
        <v>12/02/2009</v>
      </c>
      <c r="B4356">
        <v>3</v>
      </c>
      <c r="C4356">
        <v>18000</v>
      </c>
      <c r="D4356">
        <v>18534</v>
      </c>
      <c r="E4356">
        <v>18000</v>
      </c>
      <c r="F4356">
        <v>18000</v>
      </c>
      <c r="G4356" s="1">
        <v>0.01</v>
      </c>
      <c r="H4356" s="1">
        <v>0.01</v>
      </c>
      <c r="I4356" s="1">
        <v>0.01</v>
      </c>
      <c r="J4356" s="1">
        <v>0.96919999999999995</v>
      </c>
    </row>
    <row r="4357" spans="1:10" x14ac:dyDescent="0.2">
      <c r="A4357" t="str">
        <f>"11/02/2009"</f>
        <v>11/02/2009</v>
      </c>
      <c r="B4357">
        <v>1</v>
      </c>
      <c r="C4357">
        <v>13000</v>
      </c>
      <c r="D4357">
        <v>12054</v>
      </c>
      <c r="E4357">
        <v>12054</v>
      </c>
      <c r="F4357">
        <v>12054</v>
      </c>
      <c r="G4357" s="1">
        <v>0.01</v>
      </c>
      <c r="H4357" s="1">
        <v>0.01</v>
      </c>
      <c r="I4357" s="1">
        <v>0.01</v>
      </c>
      <c r="J4357" s="1">
        <v>1</v>
      </c>
    </row>
    <row r="4358" spans="1:10" x14ac:dyDescent="0.2">
      <c r="A4358" t="str">
        <f>"09/02/2009"</f>
        <v>09/02/2009</v>
      </c>
      <c r="B4358">
        <v>2</v>
      </c>
      <c r="C4358">
        <v>14500</v>
      </c>
      <c r="D4358">
        <v>16505</v>
      </c>
      <c r="E4358">
        <v>14500</v>
      </c>
      <c r="F4358">
        <v>14500</v>
      </c>
      <c r="G4358" s="1">
        <v>0.01</v>
      </c>
      <c r="H4358" s="1">
        <v>0.01</v>
      </c>
      <c r="I4358" s="1">
        <v>0.01</v>
      </c>
      <c r="J4358" s="1">
        <v>0.86890000000000001</v>
      </c>
    </row>
    <row r="4359" spans="1:10" x14ac:dyDescent="0.2">
      <c r="A4359" t="str">
        <f>"08/02/2009"</f>
        <v>08/02/2009</v>
      </c>
      <c r="B4359">
        <v>1</v>
      </c>
      <c r="C4359">
        <v>14000</v>
      </c>
      <c r="D4359">
        <v>17080</v>
      </c>
      <c r="E4359">
        <v>14000</v>
      </c>
      <c r="F4359">
        <v>14000</v>
      </c>
      <c r="G4359" s="1">
        <v>0.01</v>
      </c>
      <c r="H4359" s="1">
        <v>0.01</v>
      </c>
      <c r="I4359" s="1">
        <v>0.01</v>
      </c>
      <c r="J4359" s="1">
        <v>0.80649999999999999</v>
      </c>
    </row>
    <row r="4360" spans="1:10" x14ac:dyDescent="0.2">
      <c r="A4360" t="str">
        <f>"05/02/2009"</f>
        <v>05/02/2009</v>
      </c>
      <c r="B4360">
        <v>3</v>
      </c>
      <c r="C4360">
        <v>13000</v>
      </c>
      <c r="D4360">
        <v>14474</v>
      </c>
      <c r="E4360">
        <v>13000</v>
      </c>
      <c r="F4360">
        <v>13000</v>
      </c>
      <c r="G4360" s="1">
        <v>0.01</v>
      </c>
      <c r="H4360" s="1">
        <v>0.01</v>
      </c>
      <c r="I4360" s="1">
        <v>0.01</v>
      </c>
      <c r="J4360" s="1">
        <v>0.89159999999999995</v>
      </c>
    </row>
    <row r="4361" spans="1:10" x14ac:dyDescent="0.2">
      <c r="A4361" t="str">
        <f>"04/02/2009"</f>
        <v>04/02/2009</v>
      </c>
      <c r="B4361">
        <v>1</v>
      </c>
      <c r="C4361">
        <v>18000</v>
      </c>
      <c r="D4361">
        <v>19720</v>
      </c>
      <c r="E4361">
        <v>18000</v>
      </c>
      <c r="F4361">
        <v>18000</v>
      </c>
      <c r="G4361" s="1">
        <v>0.01</v>
      </c>
      <c r="H4361" s="1">
        <v>0.01</v>
      </c>
      <c r="I4361" s="1">
        <v>0.01</v>
      </c>
      <c r="J4361" s="1">
        <v>0.90480000000000005</v>
      </c>
    </row>
    <row r="4362" spans="1:10" x14ac:dyDescent="0.2">
      <c r="A4362" t="str">
        <f>"03/02/2009"</f>
        <v>03/02/2009</v>
      </c>
      <c r="B4362">
        <v>1</v>
      </c>
      <c r="C4362">
        <v>16000</v>
      </c>
      <c r="D4362">
        <v>21345</v>
      </c>
      <c r="E4362">
        <v>16000</v>
      </c>
      <c r="F4362">
        <v>16000</v>
      </c>
      <c r="G4362" s="1">
        <v>0.01</v>
      </c>
      <c r="H4362" s="1">
        <v>0.01</v>
      </c>
      <c r="I4362" s="1">
        <v>0.01</v>
      </c>
      <c r="J4362" s="1">
        <v>0.74</v>
      </c>
    </row>
    <row r="4363" spans="1:10" x14ac:dyDescent="0.2">
      <c r="A4363" t="str">
        <f>"02/02/2009"</f>
        <v>02/02/2009</v>
      </c>
      <c r="B4363">
        <v>1</v>
      </c>
      <c r="C4363">
        <v>17000</v>
      </c>
      <c r="D4363">
        <v>23216</v>
      </c>
      <c r="E4363">
        <v>17000</v>
      </c>
      <c r="F4363">
        <v>17000</v>
      </c>
      <c r="G4363" s="1">
        <v>0.01</v>
      </c>
      <c r="H4363" s="1">
        <v>0.01</v>
      </c>
      <c r="I4363" s="1">
        <v>0.01</v>
      </c>
      <c r="J4363" s="1">
        <v>0.7026</v>
      </c>
    </row>
    <row r="4364" spans="1:10" x14ac:dyDescent="0.2">
      <c r="A4364" t="str">
        <f>"01/02/2009"</f>
        <v>01/02/2009</v>
      </c>
      <c r="B4364">
        <v>1</v>
      </c>
      <c r="C4364">
        <v>16000</v>
      </c>
      <c r="D4364">
        <v>20873</v>
      </c>
      <c r="E4364">
        <v>16000</v>
      </c>
      <c r="F4364">
        <v>16000</v>
      </c>
      <c r="G4364" s="1">
        <v>0.01</v>
      </c>
      <c r="H4364" s="1">
        <v>0.01</v>
      </c>
      <c r="I4364" s="1">
        <v>0.01</v>
      </c>
      <c r="J4364" s="1">
        <v>0.70099999999999996</v>
      </c>
    </row>
    <row r="4365" spans="1:10" x14ac:dyDescent="0.2">
      <c r="A4365" t="str">
        <f>"29/01/2009"</f>
        <v>29/01/2009</v>
      </c>
      <c r="B4365">
        <v>3</v>
      </c>
      <c r="C4365">
        <v>10500</v>
      </c>
      <c r="D4365">
        <v>12724</v>
      </c>
      <c r="E4365">
        <v>10500</v>
      </c>
      <c r="F4365">
        <v>10500</v>
      </c>
      <c r="G4365" s="1">
        <v>0.01</v>
      </c>
      <c r="H4365" s="1">
        <v>0.01</v>
      </c>
      <c r="I4365" s="1">
        <v>0.01</v>
      </c>
      <c r="J4365" s="1">
        <v>0.79410000000000003</v>
      </c>
    </row>
    <row r="4366" spans="1:10" x14ac:dyDescent="0.2">
      <c r="A4366" t="str">
        <f>"28/01/2009"</f>
        <v>28/01/2009</v>
      </c>
      <c r="B4366">
        <v>1</v>
      </c>
      <c r="C4366">
        <v>12000</v>
      </c>
      <c r="D4366">
        <v>11209</v>
      </c>
      <c r="E4366">
        <v>11209</v>
      </c>
      <c r="F4366">
        <v>11209</v>
      </c>
      <c r="G4366" s="1">
        <v>1.7500000000000002E-2</v>
      </c>
      <c r="H4366" s="1">
        <v>1.6899999999999998E-2</v>
      </c>
      <c r="I4366" s="1">
        <v>1.6899999999999998E-2</v>
      </c>
      <c r="J4366" s="1">
        <v>1</v>
      </c>
    </row>
    <row r="4367" spans="1:10" x14ac:dyDescent="0.2">
      <c r="A4367" t="str">
        <f>"27/01/2009"</f>
        <v>27/01/2009</v>
      </c>
      <c r="B4367">
        <v>1</v>
      </c>
      <c r="C4367">
        <v>8500</v>
      </c>
      <c r="D4367">
        <v>15065</v>
      </c>
      <c r="E4367">
        <v>8500</v>
      </c>
      <c r="F4367">
        <v>8500</v>
      </c>
      <c r="G4367" s="1">
        <v>1.7100000000000001E-2</v>
      </c>
      <c r="H4367" s="1">
        <v>1.7000000000000001E-2</v>
      </c>
      <c r="I4367" s="1">
        <v>1.7000000000000001E-2</v>
      </c>
      <c r="J4367" s="1">
        <v>0.68589999999999995</v>
      </c>
    </row>
    <row r="4368" spans="1:10" x14ac:dyDescent="0.2">
      <c r="A4368" t="str">
        <f>"26/01/2009"</f>
        <v>26/01/2009</v>
      </c>
      <c r="B4368">
        <v>1</v>
      </c>
      <c r="C4368">
        <v>9500</v>
      </c>
      <c r="D4368">
        <v>12501</v>
      </c>
      <c r="E4368">
        <v>9500</v>
      </c>
      <c r="F4368">
        <v>9500</v>
      </c>
      <c r="G4368" s="1">
        <v>1.72E-2</v>
      </c>
      <c r="H4368" s="1">
        <v>1.72E-2</v>
      </c>
      <c r="I4368" s="1">
        <v>1.72E-2</v>
      </c>
      <c r="J4368" s="1">
        <v>0.74670000000000003</v>
      </c>
    </row>
    <row r="4369" spans="1:10" x14ac:dyDescent="0.2">
      <c r="A4369" t="str">
        <f>"25/01/2009"</f>
        <v>25/01/2009</v>
      </c>
      <c r="B4369">
        <v>1</v>
      </c>
      <c r="C4369">
        <v>9000</v>
      </c>
      <c r="D4369">
        <v>13923</v>
      </c>
      <c r="E4369">
        <v>9000</v>
      </c>
      <c r="F4369">
        <v>9000</v>
      </c>
      <c r="G4369" s="1">
        <v>1.7299999999999999E-2</v>
      </c>
      <c r="H4369" s="1">
        <v>1.72E-2</v>
      </c>
      <c r="I4369" s="1">
        <v>1.72E-2</v>
      </c>
      <c r="J4369" s="1">
        <v>0.37559999999999999</v>
      </c>
    </row>
    <row r="4370" spans="1:10" x14ac:dyDescent="0.2">
      <c r="A4370" t="str">
        <f>"22/01/2009"</f>
        <v>22/01/2009</v>
      </c>
      <c r="B4370">
        <v>3</v>
      </c>
      <c r="C4370">
        <v>8500</v>
      </c>
      <c r="D4370">
        <v>11012</v>
      </c>
      <c r="E4370">
        <v>8500</v>
      </c>
      <c r="F4370">
        <v>8500</v>
      </c>
      <c r="G4370" s="1">
        <v>1.72E-2</v>
      </c>
      <c r="H4370" s="1">
        <v>1.72E-2</v>
      </c>
      <c r="I4370" s="1">
        <v>1.72E-2</v>
      </c>
      <c r="J4370" s="1">
        <v>0.98150000000000004</v>
      </c>
    </row>
    <row r="4371" spans="1:10" x14ac:dyDescent="0.2">
      <c r="A4371" t="str">
        <f>"21/01/2009"</f>
        <v>21/01/2009</v>
      </c>
      <c r="B4371">
        <v>1</v>
      </c>
      <c r="C4371">
        <v>5500</v>
      </c>
      <c r="D4371">
        <v>13669</v>
      </c>
      <c r="E4371">
        <v>5500</v>
      </c>
      <c r="F4371">
        <v>5500</v>
      </c>
      <c r="G4371" s="1">
        <v>1.7399999999999999E-2</v>
      </c>
      <c r="H4371" s="1">
        <v>1.7299999999999999E-2</v>
      </c>
      <c r="I4371" s="1">
        <v>1.7299999999999999E-2</v>
      </c>
      <c r="J4371" s="1">
        <v>1.24E-2</v>
      </c>
    </row>
    <row r="4372" spans="1:10" x14ac:dyDescent="0.2">
      <c r="A4372" t="str">
        <f>"20/01/2009"</f>
        <v>20/01/2009</v>
      </c>
      <c r="B4372">
        <v>1</v>
      </c>
      <c r="C4372">
        <v>6500</v>
      </c>
      <c r="D4372">
        <v>13110</v>
      </c>
      <c r="E4372">
        <v>6500</v>
      </c>
      <c r="F4372">
        <v>6500</v>
      </c>
      <c r="G4372" s="1">
        <v>1.7399999999999999E-2</v>
      </c>
      <c r="H4372" s="1">
        <v>1.7399999999999999E-2</v>
      </c>
      <c r="I4372" s="1">
        <v>1.7399999999999999E-2</v>
      </c>
      <c r="J4372" s="1">
        <v>0.50370000000000004</v>
      </c>
    </row>
    <row r="4373" spans="1:10" x14ac:dyDescent="0.2">
      <c r="A4373" t="str">
        <f>"19/01/2009"</f>
        <v>19/01/2009</v>
      </c>
      <c r="B4373">
        <v>1</v>
      </c>
      <c r="C4373">
        <v>7000</v>
      </c>
      <c r="D4373">
        <v>14580</v>
      </c>
      <c r="E4373">
        <v>7000</v>
      </c>
      <c r="F4373">
        <v>7000</v>
      </c>
      <c r="G4373" s="1">
        <v>1.7399999999999999E-2</v>
      </c>
      <c r="H4373" s="1">
        <v>1.7399999999999999E-2</v>
      </c>
      <c r="I4373" s="1">
        <v>1.7399999999999999E-2</v>
      </c>
      <c r="J4373" s="1">
        <v>0.98870000000000002</v>
      </c>
    </row>
    <row r="4374" spans="1:10" x14ac:dyDescent="0.2">
      <c r="A4374" t="str">
        <f>"18/01/2009"</f>
        <v>18/01/2009</v>
      </c>
      <c r="B4374">
        <v>1</v>
      </c>
      <c r="C4374">
        <v>7000</v>
      </c>
      <c r="D4374">
        <v>16480</v>
      </c>
      <c r="E4374">
        <v>7000</v>
      </c>
      <c r="F4374">
        <v>7000</v>
      </c>
      <c r="G4374" s="1">
        <v>1.7500000000000002E-2</v>
      </c>
      <c r="H4374" s="1">
        <v>1.7399999999999999E-2</v>
      </c>
      <c r="I4374" s="1">
        <v>1.7399999999999999E-2</v>
      </c>
      <c r="J4374" s="1">
        <v>0.1157</v>
      </c>
    </row>
    <row r="4375" spans="1:10" x14ac:dyDescent="0.2">
      <c r="A4375" t="str">
        <f>"15/01/2009"</f>
        <v>15/01/2009</v>
      </c>
      <c r="B4375">
        <v>3</v>
      </c>
      <c r="C4375">
        <v>10500</v>
      </c>
      <c r="D4375">
        <v>15520</v>
      </c>
      <c r="E4375">
        <v>10500</v>
      </c>
      <c r="F4375">
        <v>10500</v>
      </c>
      <c r="G4375" s="1">
        <v>1.7500000000000002E-2</v>
      </c>
      <c r="H4375" s="1">
        <v>1.7399999999999999E-2</v>
      </c>
      <c r="I4375" s="1">
        <v>1.7399999999999999E-2</v>
      </c>
      <c r="J4375" s="1">
        <v>0.48249999999999998</v>
      </c>
    </row>
    <row r="4376" spans="1:10" x14ac:dyDescent="0.2">
      <c r="A4376" t="str">
        <f>"15/01/2009"</f>
        <v>15/01/2009</v>
      </c>
      <c r="B4376">
        <v>1</v>
      </c>
      <c r="C4376">
        <v>5500</v>
      </c>
      <c r="D4376">
        <v>9735</v>
      </c>
      <c r="E4376">
        <v>5500</v>
      </c>
      <c r="F4376">
        <v>5500</v>
      </c>
      <c r="G4376" s="1">
        <v>1.7500000000000002E-2</v>
      </c>
      <c r="H4376" s="1">
        <v>1.7500000000000002E-2</v>
      </c>
      <c r="I4376" s="1">
        <v>1.7500000000000002E-2</v>
      </c>
      <c r="J4376" s="1">
        <v>0.50180000000000002</v>
      </c>
    </row>
    <row r="4377" spans="1:10" x14ac:dyDescent="0.2">
      <c r="A4377" t="str">
        <f>"14/01/2009"</f>
        <v>14/01/2009</v>
      </c>
      <c r="B4377">
        <v>1</v>
      </c>
      <c r="C4377">
        <v>12000</v>
      </c>
      <c r="D4377">
        <v>22299</v>
      </c>
      <c r="E4377">
        <v>12000</v>
      </c>
      <c r="F4377">
        <v>12000</v>
      </c>
      <c r="G4377" s="1">
        <v>1.7500000000000002E-2</v>
      </c>
      <c r="H4377" s="1">
        <v>1.7399999999999999E-2</v>
      </c>
      <c r="I4377" s="1">
        <v>1.7399999999999999E-2</v>
      </c>
      <c r="J4377" s="1">
        <v>0.33550000000000002</v>
      </c>
    </row>
    <row r="4378" spans="1:10" x14ac:dyDescent="0.2">
      <c r="A4378" t="str">
        <f>"13/01/2009"</f>
        <v>13/01/2009</v>
      </c>
      <c r="B4378">
        <v>1</v>
      </c>
      <c r="C4378">
        <v>12000</v>
      </c>
      <c r="D4378">
        <v>22052</v>
      </c>
      <c r="E4378">
        <v>12000</v>
      </c>
      <c r="F4378">
        <v>12000</v>
      </c>
      <c r="G4378" s="1">
        <v>1.7500000000000002E-2</v>
      </c>
      <c r="H4378" s="1">
        <v>1.7399999999999999E-2</v>
      </c>
      <c r="I4378" s="1">
        <v>1.7399999999999999E-2</v>
      </c>
      <c r="J4378" s="1">
        <v>0.35970000000000002</v>
      </c>
    </row>
    <row r="4379" spans="1:10" x14ac:dyDescent="0.2">
      <c r="A4379" t="str">
        <f>"12/01/2009"</f>
        <v>12/01/2009</v>
      </c>
      <c r="B4379">
        <v>1</v>
      </c>
      <c r="C4379">
        <v>11500</v>
      </c>
      <c r="D4379">
        <v>22678</v>
      </c>
      <c r="E4379">
        <v>11500</v>
      </c>
      <c r="F4379">
        <v>11500</v>
      </c>
      <c r="G4379" s="1">
        <v>1.7500000000000002E-2</v>
      </c>
      <c r="H4379" s="1">
        <v>1.7500000000000002E-2</v>
      </c>
      <c r="I4379" s="1">
        <v>1.7500000000000002E-2</v>
      </c>
      <c r="J4379" s="1">
        <v>0.35759999999999997</v>
      </c>
    </row>
    <row r="4380" spans="1:10" x14ac:dyDescent="0.2">
      <c r="A4380" t="str">
        <f>"11/01/2009"</f>
        <v>11/01/2009</v>
      </c>
      <c r="B4380">
        <v>1</v>
      </c>
      <c r="C4380">
        <v>11500</v>
      </c>
      <c r="D4380">
        <v>19790</v>
      </c>
      <c r="E4380">
        <v>11500</v>
      </c>
      <c r="F4380">
        <v>11500</v>
      </c>
      <c r="G4380" s="1">
        <v>1.7500000000000002E-2</v>
      </c>
      <c r="H4380" s="1">
        <v>1.7500000000000002E-2</v>
      </c>
      <c r="I4380" s="1">
        <v>1.7500000000000002E-2</v>
      </c>
      <c r="J4380" s="1">
        <v>0.43219999999999997</v>
      </c>
    </row>
    <row r="4381" spans="1:10" x14ac:dyDescent="0.2">
      <c r="A4381" t="str">
        <f>"08/01/2009"</f>
        <v>08/01/2009</v>
      </c>
      <c r="B4381">
        <v>3</v>
      </c>
      <c r="C4381">
        <v>11000</v>
      </c>
      <c r="D4381">
        <v>17630</v>
      </c>
      <c r="E4381">
        <v>11000</v>
      </c>
      <c r="F4381">
        <v>11000</v>
      </c>
      <c r="G4381" s="1">
        <v>1.7500000000000002E-2</v>
      </c>
      <c r="H4381" s="1">
        <v>1.7500000000000002E-2</v>
      </c>
      <c r="I4381" s="1">
        <v>1.7500000000000002E-2</v>
      </c>
      <c r="J4381" s="1">
        <v>0.59199999999999997</v>
      </c>
    </row>
    <row r="4382" spans="1:10" x14ac:dyDescent="0.2">
      <c r="A4382" t="str">
        <f>"07/01/2009"</f>
        <v>07/01/2009</v>
      </c>
      <c r="B4382">
        <v>1</v>
      </c>
      <c r="C4382">
        <v>11000</v>
      </c>
      <c r="D4382">
        <v>15694</v>
      </c>
      <c r="E4382">
        <v>11000</v>
      </c>
      <c r="F4382">
        <v>11000</v>
      </c>
      <c r="G4382" s="1">
        <v>1.7500000000000002E-2</v>
      </c>
      <c r="H4382" s="1">
        <v>1.7500000000000002E-2</v>
      </c>
      <c r="I4382" s="1">
        <v>1.7500000000000002E-2</v>
      </c>
      <c r="J4382" s="1">
        <v>0.63100000000000001</v>
      </c>
    </row>
    <row r="4383" spans="1:10" x14ac:dyDescent="0.2">
      <c r="A4383" t="str">
        <f>"06/01/2009"</f>
        <v>06/01/2009</v>
      </c>
      <c r="B4383">
        <v>1</v>
      </c>
      <c r="C4383">
        <v>17500</v>
      </c>
      <c r="D4383">
        <v>22642</v>
      </c>
      <c r="E4383">
        <v>17500</v>
      </c>
      <c r="F4383">
        <v>17500</v>
      </c>
      <c r="G4383" s="1">
        <v>1.7500000000000002E-2</v>
      </c>
      <c r="H4383" s="1">
        <v>1.7500000000000002E-2</v>
      </c>
      <c r="I4383" s="1">
        <v>1.7500000000000002E-2</v>
      </c>
      <c r="J4383" s="1">
        <v>0.68340000000000001</v>
      </c>
    </row>
    <row r="4384" spans="1:10" x14ac:dyDescent="0.2">
      <c r="A4384" t="str">
        <f>"05/01/2009"</f>
        <v>05/01/2009</v>
      </c>
      <c r="B4384">
        <v>1</v>
      </c>
      <c r="C4384">
        <v>18500</v>
      </c>
      <c r="D4384">
        <v>24213</v>
      </c>
      <c r="E4384">
        <v>18500</v>
      </c>
      <c r="F4384">
        <v>18500</v>
      </c>
      <c r="G4384" s="1">
        <v>1.7500000000000002E-2</v>
      </c>
      <c r="H4384" s="1">
        <v>1.7500000000000002E-2</v>
      </c>
      <c r="I4384" s="1">
        <v>1.7500000000000002E-2</v>
      </c>
      <c r="J4384" s="1">
        <v>0.70379999999999998</v>
      </c>
    </row>
    <row r="4385" spans="1:10" x14ac:dyDescent="0.2">
      <c r="A4385" t="str">
        <f>"04/01/2009"</f>
        <v>04/01/2009</v>
      </c>
      <c r="B4385">
        <v>1</v>
      </c>
      <c r="C4385">
        <v>18500</v>
      </c>
      <c r="D4385">
        <v>22088</v>
      </c>
      <c r="E4385">
        <v>18500</v>
      </c>
      <c r="F4385">
        <v>18500</v>
      </c>
      <c r="G4385" s="1">
        <v>1.7500000000000002E-2</v>
      </c>
      <c r="H4385" s="1">
        <v>1.7500000000000002E-2</v>
      </c>
      <c r="I4385" s="1">
        <v>1.7500000000000002E-2</v>
      </c>
      <c r="J4385" s="1">
        <v>0.79669999999999996</v>
      </c>
    </row>
    <row r="4386" spans="1:10" x14ac:dyDescent="0.2">
      <c r="A4386" t="str">
        <f>"01/01/2009"</f>
        <v>01/01/2009</v>
      </c>
      <c r="B4386">
        <v>3</v>
      </c>
      <c r="C4386">
        <v>18500</v>
      </c>
      <c r="D4386">
        <v>20730</v>
      </c>
      <c r="E4386">
        <v>18500</v>
      </c>
      <c r="F4386">
        <v>18500</v>
      </c>
      <c r="G4386" s="1">
        <v>1.7500000000000002E-2</v>
      </c>
      <c r="H4386" s="1">
        <v>1.7399999999999999E-2</v>
      </c>
      <c r="I4386" s="1">
        <v>1.7399999999999999E-2</v>
      </c>
      <c r="J4386" s="1">
        <v>0.83720000000000006</v>
      </c>
    </row>
    <row r="4387" spans="1:10" x14ac:dyDescent="0.2">
      <c r="A4387" t="str">
        <f>"31/12/2008"</f>
        <v>31/12/2008</v>
      </c>
      <c r="B4387">
        <v>1</v>
      </c>
      <c r="C4387">
        <v>27000</v>
      </c>
      <c r="D4387">
        <v>28057</v>
      </c>
      <c r="E4387">
        <v>27000</v>
      </c>
      <c r="F4387">
        <v>27000</v>
      </c>
      <c r="G4387" s="1">
        <v>2.4899999999999999E-2</v>
      </c>
      <c r="H4387" s="1">
        <v>2.46E-2</v>
      </c>
      <c r="I4387" s="1">
        <v>2.46E-2</v>
      </c>
      <c r="J4387" s="1">
        <v>0.92169999999999996</v>
      </c>
    </row>
    <row r="4388" spans="1:10" x14ac:dyDescent="0.2">
      <c r="A4388" t="str">
        <f>"30/12/2008"</f>
        <v>30/12/2008</v>
      </c>
      <c r="B4388">
        <v>1</v>
      </c>
      <c r="C4388">
        <v>13000</v>
      </c>
      <c r="D4388">
        <v>17258</v>
      </c>
      <c r="E4388">
        <v>13000</v>
      </c>
      <c r="F4388">
        <v>13000</v>
      </c>
      <c r="G4388" s="1">
        <v>2.46E-2</v>
      </c>
      <c r="H4388" s="1">
        <v>2.4400000000000002E-2</v>
      </c>
      <c r="I4388" s="1">
        <v>2.4400000000000002E-2</v>
      </c>
      <c r="J4388" s="1">
        <v>0.13370000000000001</v>
      </c>
    </row>
    <row r="4389" spans="1:10" x14ac:dyDescent="0.2">
      <c r="A4389" t="str">
        <f>"29/12/2008"</f>
        <v>29/12/2008</v>
      </c>
      <c r="B4389">
        <v>1</v>
      </c>
      <c r="C4389">
        <v>12000</v>
      </c>
      <c r="D4389">
        <v>15184</v>
      </c>
      <c r="E4389">
        <v>12000</v>
      </c>
      <c r="F4389">
        <v>12000</v>
      </c>
      <c r="G4389" s="1">
        <v>2.47E-2</v>
      </c>
      <c r="H4389" s="1">
        <v>2.46E-2</v>
      </c>
      <c r="I4389" s="1">
        <v>2.46E-2</v>
      </c>
      <c r="J4389" s="1">
        <v>0.77929999999999999</v>
      </c>
    </row>
    <row r="4390" spans="1:10" x14ac:dyDescent="0.2">
      <c r="A4390" t="str">
        <f>"28/12/2008"</f>
        <v>28/12/2008</v>
      </c>
      <c r="B4390">
        <v>1</v>
      </c>
      <c r="C4390">
        <v>8500</v>
      </c>
      <c r="D4390">
        <v>13933</v>
      </c>
      <c r="E4390">
        <v>8500</v>
      </c>
      <c r="F4390">
        <v>8500</v>
      </c>
      <c r="G4390" s="1">
        <v>2.4799999999999999E-2</v>
      </c>
      <c r="H4390" s="1">
        <v>2.4799999999999999E-2</v>
      </c>
      <c r="I4390" s="1">
        <v>2.4799999999999999E-2</v>
      </c>
      <c r="J4390" s="1">
        <v>0.79149999999999998</v>
      </c>
    </row>
    <row r="4391" spans="1:10" x14ac:dyDescent="0.2">
      <c r="A4391" t="str">
        <f>"25/12/2008"</f>
        <v>25/12/2008</v>
      </c>
      <c r="B4391">
        <v>3</v>
      </c>
      <c r="C4391">
        <v>4500</v>
      </c>
      <c r="D4391">
        <v>8416</v>
      </c>
      <c r="E4391">
        <v>4500</v>
      </c>
      <c r="F4391">
        <v>4500</v>
      </c>
      <c r="G4391" s="1">
        <v>2.4899999999999999E-2</v>
      </c>
      <c r="H4391" s="1">
        <v>2.4799999999999999E-2</v>
      </c>
      <c r="I4391" s="1">
        <v>2.4799999999999999E-2</v>
      </c>
      <c r="J4391" s="1">
        <v>0.16309999999999999</v>
      </c>
    </row>
    <row r="4392" spans="1:10" x14ac:dyDescent="0.2">
      <c r="A4392" t="str">
        <f>"24/12/2008"</f>
        <v>24/12/2008</v>
      </c>
      <c r="B4392">
        <v>1</v>
      </c>
      <c r="C4392">
        <v>3500</v>
      </c>
      <c r="D4392">
        <v>3408</v>
      </c>
      <c r="E4392">
        <v>3408</v>
      </c>
      <c r="F4392">
        <v>3408</v>
      </c>
      <c r="G4392" s="1">
        <v>2.4899999999999999E-2</v>
      </c>
      <c r="H4392" s="1">
        <v>2.4899999999999999E-2</v>
      </c>
      <c r="I4392" s="1">
        <v>2.4899999999999999E-2</v>
      </c>
      <c r="J4392" s="1">
        <v>1</v>
      </c>
    </row>
    <row r="4393" spans="1:10" x14ac:dyDescent="0.2">
      <c r="A4393" t="str">
        <f>"23/12/2008"</f>
        <v>23/12/2008</v>
      </c>
      <c r="B4393">
        <v>1</v>
      </c>
      <c r="C4393">
        <v>2500</v>
      </c>
      <c r="D4393">
        <v>2614</v>
      </c>
      <c r="E4393">
        <v>2500</v>
      </c>
      <c r="F4393">
        <v>2500</v>
      </c>
      <c r="G4393" s="1">
        <v>2.4899999999999999E-2</v>
      </c>
      <c r="H4393" s="1">
        <v>2.4899999999999999E-2</v>
      </c>
      <c r="I4393" s="1">
        <v>2.4899999999999999E-2</v>
      </c>
      <c r="J4393" s="1">
        <v>0.93630000000000002</v>
      </c>
    </row>
    <row r="4394" spans="1:10" x14ac:dyDescent="0.2">
      <c r="A4394" t="str">
        <f>"22/12/2008"</f>
        <v>22/12/2008</v>
      </c>
      <c r="B4394">
        <v>1</v>
      </c>
      <c r="C4394">
        <v>2000</v>
      </c>
      <c r="D4394">
        <v>2319</v>
      </c>
      <c r="E4394">
        <v>2000</v>
      </c>
      <c r="F4394">
        <v>2000</v>
      </c>
      <c r="G4394" s="1">
        <v>2.4899999999999999E-2</v>
      </c>
      <c r="H4394" s="1">
        <v>2.4899999999999999E-2</v>
      </c>
      <c r="I4394" s="1">
        <v>2.4899999999999999E-2</v>
      </c>
      <c r="J4394" s="1">
        <v>0.84050000000000002</v>
      </c>
    </row>
    <row r="4395" spans="1:10" x14ac:dyDescent="0.2">
      <c r="A4395" t="str">
        <f>"21/12/2008"</f>
        <v>21/12/2008</v>
      </c>
      <c r="B4395">
        <v>1</v>
      </c>
      <c r="C4395">
        <v>2000</v>
      </c>
      <c r="D4395">
        <v>2426</v>
      </c>
      <c r="E4395">
        <v>2000</v>
      </c>
      <c r="F4395">
        <v>2000</v>
      </c>
      <c r="G4395" s="1">
        <v>2.4899999999999999E-2</v>
      </c>
      <c r="H4395" s="1">
        <v>2.4899999999999999E-2</v>
      </c>
      <c r="I4395" s="1">
        <v>2.4899999999999999E-2</v>
      </c>
      <c r="J4395" s="1">
        <v>0.86099999999999999</v>
      </c>
    </row>
    <row r="4396" spans="1:10" x14ac:dyDescent="0.2">
      <c r="A4396" t="str">
        <f>"18/12/2008"</f>
        <v>18/12/2008</v>
      </c>
      <c r="B4396">
        <v>3</v>
      </c>
      <c r="C4396">
        <v>2500</v>
      </c>
      <c r="D4396">
        <v>4445</v>
      </c>
      <c r="E4396">
        <v>2500</v>
      </c>
      <c r="F4396">
        <v>2500</v>
      </c>
      <c r="G4396" s="1">
        <v>2.5000000000000001E-2</v>
      </c>
      <c r="H4396" s="1">
        <v>2.4899999999999999E-2</v>
      </c>
      <c r="I4396" s="1">
        <v>2.4899999999999999E-2</v>
      </c>
      <c r="J4396" s="1">
        <v>7.3800000000000004E-2</v>
      </c>
    </row>
    <row r="4397" spans="1:10" x14ac:dyDescent="0.2">
      <c r="A4397" t="str">
        <f>"17/12/2008"</f>
        <v>17/12/2008</v>
      </c>
      <c r="B4397">
        <v>1</v>
      </c>
      <c r="C4397">
        <v>2000</v>
      </c>
      <c r="D4397">
        <v>4805</v>
      </c>
      <c r="E4397">
        <v>2000</v>
      </c>
      <c r="F4397">
        <v>2000</v>
      </c>
      <c r="G4397" s="1">
        <v>2.5000000000000001E-2</v>
      </c>
      <c r="H4397" s="1">
        <v>2.5000000000000001E-2</v>
      </c>
      <c r="I4397" s="1">
        <v>2.5000000000000001E-2</v>
      </c>
      <c r="J4397" s="1">
        <v>0.38619999999999999</v>
      </c>
    </row>
    <row r="4398" spans="1:10" x14ac:dyDescent="0.2">
      <c r="A4398" t="str">
        <f>"16/12/2008"</f>
        <v>16/12/2008</v>
      </c>
      <c r="B4398">
        <v>1</v>
      </c>
      <c r="C4398">
        <v>2000</v>
      </c>
      <c r="D4398">
        <v>3201</v>
      </c>
      <c r="E4398">
        <v>2000</v>
      </c>
      <c r="F4398">
        <v>2000</v>
      </c>
      <c r="G4398" s="1">
        <v>2.5000000000000001E-2</v>
      </c>
      <c r="H4398" s="1">
        <v>2.4899999999999999E-2</v>
      </c>
      <c r="I4398" s="1">
        <v>2.4899999999999999E-2</v>
      </c>
      <c r="J4398" s="1">
        <v>0.4335</v>
      </c>
    </row>
    <row r="4399" spans="1:10" x14ac:dyDescent="0.2">
      <c r="A4399" t="str">
        <f>"15/12/2008"</f>
        <v>15/12/2008</v>
      </c>
      <c r="B4399">
        <v>1</v>
      </c>
      <c r="C4399">
        <v>8000</v>
      </c>
      <c r="D4399">
        <v>11180</v>
      </c>
      <c r="E4399">
        <v>8000</v>
      </c>
      <c r="F4399">
        <v>8000</v>
      </c>
      <c r="G4399" s="1">
        <v>2.5000000000000001E-2</v>
      </c>
      <c r="H4399" s="1">
        <v>2.5000000000000001E-2</v>
      </c>
      <c r="I4399" s="1">
        <v>2.5000000000000001E-2</v>
      </c>
      <c r="J4399" s="1">
        <v>0.68200000000000005</v>
      </c>
    </row>
    <row r="4400" spans="1:10" x14ac:dyDescent="0.2">
      <c r="A4400" t="str">
        <f>"14/12/2008"</f>
        <v>14/12/2008</v>
      </c>
      <c r="B4400">
        <v>1</v>
      </c>
      <c r="C4400">
        <v>7000</v>
      </c>
      <c r="D4400">
        <v>9844</v>
      </c>
      <c r="E4400">
        <v>7000</v>
      </c>
      <c r="F4400">
        <v>7000</v>
      </c>
      <c r="G4400" s="1">
        <v>2.5000000000000001E-2</v>
      </c>
      <c r="H4400" s="1">
        <v>2.4899999999999999E-2</v>
      </c>
      <c r="I4400" s="1">
        <v>2.4899999999999999E-2</v>
      </c>
      <c r="J4400" s="1">
        <v>0.50539999999999996</v>
      </c>
    </row>
    <row r="4401" spans="1:10" x14ac:dyDescent="0.2">
      <c r="A4401" t="str">
        <f>"11/12/2008"</f>
        <v>11/12/2008</v>
      </c>
      <c r="B4401">
        <v>3</v>
      </c>
      <c r="C4401">
        <v>7000</v>
      </c>
      <c r="D4401">
        <v>9940</v>
      </c>
      <c r="E4401">
        <v>7000</v>
      </c>
      <c r="F4401">
        <v>7000</v>
      </c>
      <c r="G4401" s="1">
        <v>2.5000000000000001E-2</v>
      </c>
      <c r="H4401" s="1">
        <v>2.4899999999999999E-2</v>
      </c>
      <c r="I4401" s="1">
        <v>2.4899999999999999E-2</v>
      </c>
      <c r="J4401" s="1">
        <v>0.51</v>
      </c>
    </row>
    <row r="4402" spans="1:10" x14ac:dyDescent="0.2">
      <c r="A4402" t="str">
        <f>"10/12/2008"</f>
        <v>10/12/2008</v>
      </c>
      <c r="B4402">
        <v>1</v>
      </c>
      <c r="C4402">
        <v>6000</v>
      </c>
      <c r="D4402">
        <v>8940</v>
      </c>
      <c r="E4402">
        <v>6000</v>
      </c>
      <c r="F4402">
        <v>6000</v>
      </c>
      <c r="G4402" s="1">
        <v>2.5000000000000001E-2</v>
      </c>
      <c r="H4402" s="1">
        <v>2.5000000000000001E-2</v>
      </c>
      <c r="I4402" s="1">
        <v>2.5000000000000001E-2</v>
      </c>
      <c r="J4402" s="1">
        <v>0.54059999999999997</v>
      </c>
    </row>
    <row r="4403" spans="1:10" x14ac:dyDescent="0.2">
      <c r="A4403" t="str">
        <f>"09/12/2008"</f>
        <v>09/12/2008</v>
      </c>
      <c r="B4403">
        <v>1</v>
      </c>
      <c r="C4403">
        <v>6000</v>
      </c>
      <c r="D4403">
        <v>9075</v>
      </c>
      <c r="E4403">
        <v>6000</v>
      </c>
      <c r="F4403">
        <v>6000</v>
      </c>
      <c r="G4403" s="1">
        <v>2.5000000000000001E-2</v>
      </c>
      <c r="H4403" s="1">
        <v>2.5000000000000001E-2</v>
      </c>
      <c r="I4403" s="1">
        <v>2.5000000000000001E-2</v>
      </c>
      <c r="J4403" s="1">
        <v>0.62270000000000003</v>
      </c>
    </row>
    <row r="4404" spans="1:10" x14ac:dyDescent="0.2">
      <c r="A4404" t="str">
        <f>"08/12/2008"</f>
        <v>08/12/2008</v>
      </c>
      <c r="B4404">
        <v>1</v>
      </c>
      <c r="C4404">
        <v>6000</v>
      </c>
      <c r="D4404">
        <v>9195</v>
      </c>
      <c r="E4404">
        <v>6000</v>
      </c>
      <c r="F4404">
        <v>6000</v>
      </c>
      <c r="G4404" s="1">
        <v>2.5000000000000001E-2</v>
      </c>
      <c r="H4404" s="1">
        <v>2.5000000000000001E-2</v>
      </c>
      <c r="I4404" s="1">
        <v>2.5000000000000001E-2</v>
      </c>
      <c r="J4404" s="1">
        <v>0.61270000000000002</v>
      </c>
    </row>
    <row r="4405" spans="1:10" x14ac:dyDescent="0.2">
      <c r="A4405" t="str">
        <f>"07/12/2008"</f>
        <v>07/12/2008</v>
      </c>
      <c r="B4405">
        <v>1</v>
      </c>
      <c r="C4405">
        <v>6000</v>
      </c>
      <c r="D4405">
        <v>8082</v>
      </c>
      <c r="E4405">
        <v>6000</v>
      </c>
      <c r="F4405">
        <v>6000</v>
      </c>
      <c r="G4405" s="1">
        <v>2.5000000000000001E-2</v>
      </c>
      <c r="H4405" s="1">
        <v>2.5000000000000001E-2</v>
      </c>
      <c r="I4405" s="1">
        <v>2.5000000000000001E-2</v>
      </c>
      <c r="J4405" s="1">
        <v>0.66149999999999998</v>
      </c>
    </row>
    <row r="4406" spans="1:10" x14ac:dyDescent="0.2">
      <c r="A4406" t="str">
        <f>"04/12/2008"</f>
        <v>04/12/2008</v>
      </c>
      <c r="B4406">
        <v>3</v>
      </c>
      <c r="C4406">
        <v>5500</v>
      </c>
      <c r="D4406">
        <v>8710</v>
      </c>
      <c r="E4406">
        <v>5500</v>
      </c>
      <c r="F4406">
        <v>5500</v>
      </c>
      <c r="G4406" s="1">
        <v>2.5000000000000001E-2</v>
      </c>
      <c r="H4406" s="1">
        <v>2.5000000000000001E-2</v>
      </c>
      <c r="I4406" s="1">
        <v>2.5000000000000001E-2</v>
      </c>
      <c r="J4406" s="1">
        <v>0.61919999999999997</v>
      </c>
    </row>
    <row r="4407" spans="1:10" x14ac:dyDescent="0.2">
      <c r="A4407" t="str">
        <f>"03/12/2008"</f>
        <v>03/12/2008</v>
      </c>
      <c r="B4407">
        <v>1</v>
      </c>
      <c r="C4407">
        <v>5000</v>
      </c>
      <c r="D4407">
        <v>9785</v>
      </c>
      <c r="E4407">
        <v>5000</v>
      </c>
      <c r="F4407">
        <v>5000</v>
      </c>
      <c r="G4407" s="1">
        <v>2.5000000000000001E-2</v>
      </c>
      <c r="H4407" s="1">
        <v>2.4899999999999999E-2</v>
      </c>
      <c r="I4407" s="1">
        <v>2.4899999999999999E-2</v>
      </c>
      <c r="J4407" s="1">
        <v>0.48549999999999999</v>
      </c>
    </row>
    <row r="4408" spans="1:10" x14ac:dyDescent="0.2">
      <c r="A4408" t="str">
        <f>"02/12/2008"</f>
        <v>02/12/2008</v>
      </c>
      <c r="B4408">
        <v>1</v>
      </c>
      <c r="C4408">
        <v>3000</v>
      </c>
      <c r="D4408">
        <v>3500</v>
      </c>
      <c r="E4408">
        <v>3000</v>
      </c>
      <c r="F4408">
        <v>3000</v>
      </c>
      <c r="G4408" s="1">
        <v>2.5000000000000001E-2</v>
      </c>
      <c r="H4408" s="1">
        <v>2.4799999999999999E-2</v>
      </c>
      <c r="I4408" s="1">
        <v>2.4799999999999999E-2</v>
      </c>
      <c r="J4408" s="1">
        <v>0.83160000000000001</v>
      </c>
    </row>
    <row r="4409" spans="1:10" x14ac:dyDescent="0.2">
      <c r="A4409" t="str">
        <f>"01/12/2008"</f>
        <v>01/12/2008</v>
      </c>
      <c r="B4409">
        <v>1</v>
      </c>
      <c r="C4409">
        <v>3000</v>
      </c>
      <c r="D4409">
        <v>2920</v>
      </c>
      <c r="E4409">
        <v>2920</v>
      </c>
      <c r="F4409">
        <v>2920</v>
      </c>
      <c r="G4409" s="1">
        <v>2.5000000000000001E-2</v>
      </c>
      <c r="H4409" s="1">
        <v>2.5000000000000001E-2</v>
      </c>
      <c r="I4409" s="1">
        <v>2.5000000000000001E-2</v>
      </c>
      <c r="J4409" s="1">
        <v>1</v>
      </c>
    </row>
    <row r="4410" spans="1:10" x14ac:dyDescent="0.2">
      <c r="A4410" t="str">
        <f>"16/11/2008"</f>
        <v>16/11/2008</v>
      </c>
      <c r="B4410">
        <v>1</v>
      </c>
      <c r="C4410">
        <v>4000</v>
      </c>
      <c r="D4410">
        <v>6068</v>
      </c>
      <c r="E4410">
        <v>4000</v>
      </c>
      <c r="F4410">
        <v>4000</v>
      </c>
      <c r="G4410" s="1">
        <v>0.03</v>
      </c>
      <c r="H4410" s="1">
        <v>2.9899999999999999E-2</v>
      </c>
      <c r="I4410" s="1">
        <v>2.9899999999999999E-2</v>
      </c>
      <c r="J4410" s="1">
        <v>0.60229999999999995</v>
      </c>
    </row>
    <row r="4411" spans="1:10" x14ac:dyDescent="0.2">
      <c r="A4411" t="str">
        <f>"14/11/2008"</f>
        <v>14/11/2008</v>
      </c>
      <c r="B4411">
        <v>2</v>
      </c>
      <c r="C4411">
        <v>3500</v>
      </c>
      <c r="D4411">
        <v>1380</v>
      </c>
      <c r="E4411">
        <v>1380</v>
      </c>
      <c r="F4411">
        <v>1380</v>
      </c>
      <c r="G4411" s="1">
        <v>0.03</v>
      </c>
      <c r="H4411" s="1">
        <v>2.98E-2</v>
      </c>
      <c r="I4411" s="1">
        <v>2.98E-2</v>
      </c>
      <c r="J4411" s="1">
        <v>1</v>
      </c>
    </row>
    <row r="4412" spans="1:10" x14ac:dyDescent="0.2">
      <c r="A4412" t="str">
        <f>"13/11/2008"</f>
        <v>13/11/2008</v>
      </c>
      <c r="B4412">
        <v>1</v>
      </c>
      <c r="C4412">
        <v>3500</v>
      </c>
      <c r="D4412">
        <v>7370</v>
      </c>
      <c r="E4412">
        <v>3500</v>
      </c>
      <c r="F4412">
        <v>3500</v>
      </c>
      <c r="G4412" s="1">
        <v>3.0499999999999999E-2</v>
      </c>
      <c r="H4412" s="1">
        <v>3.0499999999999999E-2</v>
      </c>
      <c r="I4412" s="1">
        <v>3.0499999999999999E-2</v>
      </c>
      <c r="J4412" s="1">
        <v>1</v>
      </c>
    </row>
    <row r="4413" spans="1:10" x14ac:dyDescent="0.2">
      <c r="A4413" t="str">
        <f>"12/11/2008"</f>
        <v>12/11/2008</v>
      </c>
      <c r="B4413">
        <v>1</v>
      </c>
      <c r="C4413">
        <v>3500</v>
      </c>
      <c r="D4413">
        <v>9097</v>
      </c>
      <c r="E4413">
        <v>3500</v>
      </c>
      <c r="F4413">
        <v>3500</v>
      </c>
      <c r="G4413" s="1">
        <v>3.3000000000000002E-2</v>
      </c>
      <c r="H4413" s="1">
        <v>3.2599999999999997E-2</v>
      </c>
      <c r="I4413" s="1">
        <v>3.2599999999999997E-2</v>
      </c>
      <c r="J4413" s="1">
        <v>0.51719999999999999</v>
      </c>
    </row>
    <row r="4414" spans="1:10" x14ac:dyDescent="0.2">
      <c r="A4414" t="str">
        <f>"11/11/2008"</f>
        <v>11/11/2008</v>
      </c>
      <c r="B4414">
        <v>1</v>
      </c>
      <c r="C4414">
        <v>3000</v>
      </c>
      <c r="D4414">
        <v>2184</v>
      </c>
      <c r="E4414">
        <v>2184</v>
      </c>
      <c r="F4414">
        <v>2184</v>
      </c>
      <c r="G4414" s="1">
        <v>3.5000000000000003E-2</v>
      </c>
      <c r="H4414" s="1">
        <v>3.49E-2</v>
      </c>
      <c r="I4414" s="1">
        <v>3.49E-2</v>
      </c>
      <c r="J4414" s="1">
        <v>1</v>
      </c>
    </row>
    <row r="4415" spans="1:10" x14ac:dyDescent="0.2">
      <c r="A4415" t="str">
        <f>"10/11/2008"</f>
        <v>10/11/2008</v>
      </c>
      <c r="B4415">
        <v>1</v>
      </c>
      <c r="C4415">
        <v>4000</v>
      </c>
      <c r="D4415">
        <v>1793</v>
      </c>
      <c r="E4415">
        <v>1793</v>
      </c>
      <c r="F4415">
        <v>1793</v>
      </c>
      <c r="G4415" s="1">
        <v>3.5000000000000003E-2</v>
      </c>
      <c r="H4415" s="1">
        <v>3.49E-2</v>
      </c>
      <c r="I4415" s="1">
        <v>3.49E-2</v>
      </c>
      <c r="J4415" s="1">
        <v>1</v>
      </c>
    </row>
    <row r="4416" spans="1:10" x14ac:dyDescent="0.2">
      <c r="A4416" t="str">
        <f>"09/11/2008"</f>
        <v>09/11/2008</v>
      </c>
      <c r="B4416">
        <v>1</v>
      </c>
      <c r="C4416">
        <v>4000</v>
      </c>
      <c r="D4416">
        <v>3273</v>
      </c>
      <c r="E4416">
        <v>3273</v>
      </c>
      <c r="F4416">
        <v>3273</v>
      </c>
      <c r="G4416" s="1">
        <v>3.5000000000000003E-2</v>
      </c>
      <c r="H4416" s="1">
        <v>3.5000000000000003E-2</v>
      </c>
      <c r="I4416" s="1">
        <v>3.5000000000000003E-2</v>
      </c>
      <c r="J4416" s="1">
        <v>1</v>
      </c>
    </row>
    <row r="4417" spans="1:10" x14ac:dyDescent="0.2">
      <c r="A4417" t="str">
        <f>"06/11/2008"</f>
        <v>06/11/2008</v>
      </c>
      <c r="B4417">
        <v>3</v>
      </c>
      <c r="C4417">
        <v>3000</v>
      </c>
      <c r="D4417">
        <v>1400</v>
      </c>
      <c r="E4417">
        <v>1400</v>
      </c>
      <c r="F4417">
        <v>1400</v>
      </c>
      <c r="G4417" s="1">
        <v>3.5000000000000003E-2</v>
      </c>
      <c r="H4417" s="1">
        <v>3.49E-2</v>
      </c>
      <c r="I4417" s="1">
        <v>3.49E-2</v>
      </c>
      <c r="J4417" s="1">
        <v>1</v>
      </c>
    </row>
    <row r="4418" spans="1:10" x14ac:dyDescent="0.2">
      <c r="A4418" t="str">
        <f>"05/11/2008"</f>
        <v>05/11/2008</v>
      </c>
      <c r="B4418">
        <v>1</v>
      </c>
      <c r="C4418">
        <v>2500</v>
      </c>
      <c r="D4418">
        <v>1690</v>
      </c>
      <c r="E4418">
        <v>1690</v>
      </c>
      <c r="F4418">
        <v>1690</v>
      </c>
      <c r="G4418" s="1">
        <v>3.5000000000000003E-2</v>
      </c>
      <c r="H4418" s="1">
        <v>3.5000000000000003E-2</v>
      </c>
      <c r="I4418" s="1">
        <v>3.5000000000000003E-2</v>
      </c>
      <c r="J4418" s="1">
        <v>1</v>
      </c>
    </row>
    <row r="4419" spans="1:10" x14ac:dyDescent="0.2">
      <c r="A4419" t="str">
        <f>"04/11/2008"</f>
        <v>04/11/2008</v>
      </c>
      <c r="B4419">
        <v>1</v>
      </c>
      <c r="C4419">
        <v>2500</v>
      </c>
      <c r="D4419">
        <v>4000</v>
      </c>
      <c r="E4419">
        <v>2500</v>
      </c>
      <c r="F4419">
        <v>2500</v>
      </c>
      <c r="G4419" s="1">
        <v>3.5000000000000003E-2</v>
      </c>
      <c r="H4419" s="1">
        <v>3.5000000000000003E-2</v>
      </c>
      <c r="I4419" s="1">
        <v>3.5000000000000003E-2</v>
      </c>
      <c r="J4419" s="1">
        <v>0.58330000000000004</v>
      </c>
    </row>
    <row r="4420" spans="1:10" x14ac:dyDescent="0.2">
      <c r="A4420" t="str">
        <f>"03/11/2008"</f>
        <v>03/11/2008</v>
      </c>
      <c r="B4420">
        <v>1</v>
      </c>
      <c r="C4420">
        <v>2500</v>
      </c>
      <c r="D4420">
        <v>3700</v>
      </c>
      <c r="E4420">
        <v>2500</v>
      </c>
      <c r="F4420">
        <v>2500</v>
      </c>
      <c r="G4420" s="1">
        <v>3.5000000000000003E-2</v>
      </c>
      <c r="H4420" s="1">
        <v>3.5000000000000003E-2</v>
      </c>
      <c r="I4420" s="1">
        <v>3.5000000000000003E-2</v>
      </c>
      <c r="J4420" s="1">
        <v>0.67569999999999997</v>
      </c>
    </row>
    <row r="4421" spans="1:10" x14ac:dyDescent="0.2">
      <c r="A4421" t="str">
        <f>"02/11/2008"</f>
        <v>02/11/2008</v>
      </c>
      <c r="B4421">
        <v>1</v>
      </c>
      <c r="C4421">
        <v>2500</v>
      </c>
      <c r="D4421">
        <v>2400</v>
      </c>
      <c r="E4421">
        <v>2400</v>
      </c>
      <c r="F4421">
        <v>2400</v>
      </c>
      <c r="G4421" s="1">
        <v>3.5000000000000003E-2</v>
      </c>
      <c r="H4421" s="1">
        <v>3.5000000000000003E-2</v>
      </c>
      <c r="I4421" s="1">
        <v>3.5000000000000003E-2</v>
      </c>
      <c r="J4421" s="1">
        <v>1</v>
      </c>
    </row>
    <row r="4422" spans="1:10" x14ac:dyDescent="0.2">
      <c r="A4422" t="str">
        <f>"23/10/2008"</f>
        <v>23/10/2008</v>
      </c>
      <c r="B4422">
        <v>3</v>
      </c>
      <c r="C4422">
        <v>2000</v>
      </c>
      <c r="D4422">
        <v>1230</v>
      </c>
      <c r="E4422">
        <v>1230</v>
      </c>
      <c r="F4422">
        <v>1230</v>
      </c>
      <c r="G4422" s="1">
        <v>3.7499999999999999E-2</v>
      </c>
      <c r="H4422" s="1">
        <v>3.7400000000000003E-2</v>
      </c>
      <c r="I4422" s="1">
        <v>3.7400000000000003E-2</v>
      </c>
      <c r="J4422" s="1">
        <v>1</v>
      </c>
    </row>
    <row r="4423" spans="1:10" x14ac:dyDescent="0.2">
      <c r="A4423" t="str">
        <f>"22/10/2008"</f>
        <v>22/10/2008</v>
      </c>
      <c r="B4423">
        <v>1</v>
      </c>
      <c r="C4423">
        <v>2000</v>
      </c>
      <c r="D4423">
        <v>790</v>
      </c>
      <c r="E4423">
        <v>790</v>
      </c>
      <c r="F4423">
        <v>790</v>
      </c>
      <c r="G4423" s="1">
        <v>3.7499999999999999E-2</v>
      </c>
      <c r="H4423" s="1">
        <v>3.7400000000000003E-2</v>
      </c>
      <c r="I4423" s="1">
        <v>3.7400000000000003E-2</v>
      </c>
      <c r="J4423" s="1">
        <v>1</v>
      </c>
    </row>
    <row r="4424" spans="1:10" x14ac:dyDescent="0.2">
      <c r="A4424" t="str">
        <f>"19/10/2008"</f>
        <v>19/10/2008</v>
      </c>
      <c r="B4424">
        <v>3</v>
      </c>
      <c r="C4424">
        <v>2000</v>
      </c>
      <c r="D4424">
        <v>2220</v>
      </c>
      <c r="E4424">
        <v>2000</v>
      </c>
      <c r="F4424">
        <v>2000</v>
      </c>
      <c r="G4424" s="1">
        <v>3.73E-2</v>
      </c>
      <c r="H4424" s="1">
        <v>3.7199999999999997E-2</v>
      </c>
      <c r="I4424" s="1">
        <v>3.7199999999999997E-2</v>
      </c>
      <c r="J4424" s="1">
        <v>0.9032</v>
      </c>
    </row>
    <row r="4425" spans="1:10" x14ac:dyDescent="0.2">
      <c r="A4425" t="str">
        <f>"16/10/2008"</f>
        <v>16/10/2008</v>
      </c>
      <c r="B4425">
        <v>3</v>
      </c>
      <c r="C4425">
        <v>2500</v>
      </c>
      <c r="D4425">
        <v>3800</v>
      </c>
      <c r="E4425">
        <v>2500</v>
      </c>
      <c r="F4425">
        <v>2500</v>
      </c>
      <c r="G4425" s="1">
        <v>3.7199999999999997E-2</v>
      </c>
      <c r="H4425" s="1">
        <v>3.7199999999999997E-2</v>
      </c>
      <c r="I4425" s="1">
        <v>3.7199999999999997E-2</v>
      </c>
      <c r="J4425" s="1">
        <v>1</v>
      </c>
    </row>
    <row r="4426" spans="1:10" x14ac:dyDescent="0.2">
      <c r="A4426" t="str">
        <f>"06/10/2008"</f>
        <v>06/10/2008</v>
      </c>
      <c r="B4426">
        <v>1</v>
      </c>
      <c r="C4426">
        <v>6000</v>
      </c>
      <c r="D4426">
        <v>6800</v>
      </c>
      <c r="E4426">
        <v>6000</v>
      </c>
      <c r="F4426">
        <v>6000</v>
      </c>
      <c r="G4426" s="1">
        <v>4.2500000000000003E-2</v>
      </c>
      <c r="H4426" s="1">
        <v>4.2500000000000003E-2</v>
      </c>
      <c r="I4426" s="1">
        <v>4.2500000000000003E-2</v>
      </c>
      <c r="J4426" s="1">
        <v>0.88239999999999996</v>
      </c>
    </row>
    <row r="4427" spans="1:10" x14ac:dyDescent="0.2">
      <c r="A4427" t="str">
        <f>"05/10/2008"</f>
        <v>05/10/2008</v>
      </c>
      <c r="B4427">
        <v>1</v>
      </c>
      <c r="C4427">
        <v>4500</v>
      </c>
      <c r="D4427">
        <v>5430</v>
      </c>
      <c r="E4427">
        <v>4500</v>
      </c>
      <c r="F4427">
        <v>4500</v>
      </c>
      <c r="G4427" s="1">
        <v>4.2500000000000003E-2</v>
      </c>
      <c r="H4427" s="1">
        <v>4.2500000000000003E-2</v>
      </c>
      <c r="I4427" s="1">
        <v>4.2500000000000003E-2</v>
      </c>
      <c r="J4427" s="1">
        <v>0.82869999999999999</v>
      </c>
    </row>
    <row r="4428" spans="1:10" x14ac:dyDescent="0.2">
      <c r="A4428" t="str">
        <f>"02/10/2008"</f>
        <v>02/10/2008</v>
      </c>
      <c r="B4428">
        <v>3</v>
      </c>
      <c r="C4428">
        <v>4000</v>
      </c>
      <c r="D4428">
        <v>1150</v>
      </c>
      <c r="E4428">
        <v>1150</v>
      </c>
      <c r="F4428">
        <v>1150</v>
      </c>
      <c r="G4428" s="1">
        <v>4.2500000000000003E-2</v>
      </c>
      <c r="H4428" s="1">
        <v>4.2500000000000003E-2</v>
      </c>
      <c r="I4428" s="1">
        <v>4.2500000000000003E-2</v>
      </c>
      <c r="J4428" s="1">
        <v>1</v>
      </c>
    </row>
    <row r="4429" spans="1:10" x14ac:dyDescent="0.2">
      <c r="A4429" t="str">
        <f>"02/07/2008"</f>
        <v>02/07/2008</v>
      </c>
      <c r="B4429">
        <v>1</v>
      </c>
      <c r="C4429">
        <v>4000</v>
      </c>
      <c r="D4429">
        <v>2500</v>
      </c>
      <c r="E4429">
        <v>2500</v>
      </c>
      <c r="F4429">
        <v>2500</v>
      </c>
      <c r="G4429" s="1">
        <v>3.7499999999999999E-2</v>
      </c>
      <c r="H4429" s="1">
        <v>3.7499999999999999E-2</v>
      </c>
      <c r="I4429" s="1">
        <v>3.7499999999999999E-2</v>
      </c>
      <c r="J4429" s="1">
        <v>1</v>
      </c>
    </row>
    <row r="4430" spans="1:10" x14ac:dyDescent="0.2">
      <c r="A4430" t="str">
        <f>"13/05/2008"</f>
        <v>13/05/2008</v>
      </c>
      <c r="B4430">
        <v>1</v>
      </c>
      <c r="C4430">
        <v>2500</v>
      </c>
      <c r="D4430">
        <v>350</v>
      </c>
      <c r="E4430">
        <v>350</v>
      </c>
      <c r="F4430">
        <v>350</v>
      </c>
      <c r="G4430" s="1">
        <v>3.2500000000000001E-2</v>
      </c>
      <c r="H4430" s="1">
        <v>3.2500000000000001E-2</v>
      </c>
      <c r="I4430" s="1">
        <v>3.2500000000000001E-2</v>
      </c>
      <c r="J4430" s="1">
        <v>1</v>
      </c>
    </row>
    <row r="4431" spans="1:10" x14ac:dyDescent="0.2">
      <c r="A4431" t="str">
        <f>"12/05/2008"</f>
        <v>12/05/2008</v>
      </c>
      <c r="B4431">
        <v>1</v>
      </c>
      <c r="C4431">
        <v>4500</v>
      </c>
      <c r="D4431">
        <v>5050</v>
      </c>
      <c r="E4431">
        <v>4500</v>
      </c>
      <c r="F4431">
        <v>4500</v>
      </c>
      <c r="G4431" s="1">
        <v>3.2500000000000001E-2</v>
      </c>
      <c r="H4431" s="1">
        <v>3.2500000000000001E-2</v>
      </c>
      <c r="I4431" s="1">
        <v>3.2500000000000001E-2</v>
      </c>
      <c r="J4431" s="1">
        <v>0.8911</v>
      </c>
    </row>
    <row r="4432" spans="1:10" x14ac:dyDescent="0.2">
      <c r="A4432" t="str">
        <f>"11/05/2008"</f>
        <v>11/05/2008</v>
      </c>
      <c r="B4432">
        <v>1</v>
      </c>
      <c r="C4432">
        <v>4000</v>
      </c>
      <c r="D4432">
        <v>6490</v>
      </c>
      <c r="E4432">
        <v>4000</v>
      </c>
      <c r="F4432">
        <v>4000</v>
      </c>
      <c r="G4432" s="1">
        <v>3.2500000000000001E-2</v>
      </c>
      <c r="H4432" s="1">
        <v>3.2500000000000001E-2</v>
      </c>
      <c r="I4432" s="1">
        <v>3.2500000000000001E-2</v>
      </c>
      <c r="J4432" s="1">
        <v>0.61629999999999996</v>
      </c>
    </row>
    <row r="4433" spans="1:10" x14ac:dyDescent="0.2">
      <c r="A4433" t="str">
        <f>"07/05/2008"</f>
        <v>07/05/2008</v>
      </c>
      <c r="B4433">
        <v>4</v>
      </c>
      <c r="C4433">
        <v>3000</v>
      </c>
      <c r="D4433">
        <v>50</v>
      </c>
      <c r="E4433">
        <v>50</v>
      </c>
      <c r="F4433">
        <v>50</v>
      </c>
      <c r="G4433" s="1">
        <v>3.2500000000000001E-2</v>
      </c>
      <c r="H4433" s="1">
        <v>3.2500000000000001E-2</v>
      </c>
      <c r="I4433" s="1">
        <v>3.2500000000000001E-2</v>
      </c>
      <c r="J4433" s="1">
        <v>1</v>
      </c>
    </row>
    <row r="4434" spans="1:10" x14ac:dyDescent="0.2">
      <c r="A4434" t="str">
        <f>"13/03/2008"</f>
        <v>13/03/2008</v>
      </c>
      <c r="B4434">
        <v>3</v>
      </c>
      <c r="C4434">
        <v>2000</v>
      </c>
      <c r="D4434">
        <v>2200</v>
      </c>
      <c r="E4434">
        <v>2000</v>
      </c>
      <c r="F4434">
        <v>2000</v>
      </c>
      <c r="G4434" s="1">
        <v>3.7499999999999999E-2</v>
      </c>
      <c r="H4434" s="1">
        <v>3.7499999999999999E-2</v>
      </c>
      <c r="I4434" s="1">
        <v>3.7499999999999999E-2</v>
      </c>
      <c r="J4434" s="1">
        <v>0.90910000000000002</v>
      </c>
    </row>
    <row r="4435" spans="1:10" x14ac:dyDescent="0.2">
      <c r="A4435" t="str">
        <f>"12/03/2008"</f>
        <v>12/03/2008</v>
      </c>
      <c r="B4435">
        <v>1</v>
      </c>
      <c r="C4435">
        <v>2000</v>
      </c>
      <c r="D4435">
        <v>625</v>
      </c>
      <c r="E4435">
        <v>625</v>
      </c>
      <c r="F4435">
        <v>625</v>
      </c>
      <c r="G4435" s="1">
        <v>3.7499999999999999E-2</v>
      </c>
      <c r="H4435" s="1">
        <v>3.7499999999999999E-2</v>
      </c>
      <c r="I4435" s="1">
        <v>3.7499999999999999E-2</v>
      </c>
      <c r="J4435" s="1">
        <v>1</v>
      </c>
    </row>
    <row r="4436" spans="1:10" x14ac:dyDescent="0.2">
      <c r="A4436" t="str">
        <f>"11/03/2008"</f>
        <v>11/03/2008</v>
      </c>
      <c r="B4436">
        <v>1</v>
      </c>
      <c r="C4436">
        <v>2000</v>
      </c>
      <c r="D4436">
        <v>400</v>
      </c>
      <c r="E4436">
        <v>400</v>
      </c>
      <c r="F4436">
        <v>400</v>
      </c>
      <c r="G4436" s="1">
        <v>3.7499999999999999E-2</v>
      </c>
      <c r="H4436" s="1">
        <v>3.7499999999999999E-2</v>
      </c>
      <c r="I4436" s="1">
        <v>3.7499999999999999E-2</v>
      </c>
      <c r="J4436" s="1">
        <v>1</v>
      </c>
    </row>
    <row r="4437" spans="1:10" x14ac:dyDescent="0.2">
      <c r="A4437" t="str">
        <f>"10/03/2008"</f>
        <v>10/03/2008</v>
      </c>
      <c r="B4437">
        <v>1</v>
      </c>
      <c r="C4437">
        <v>2000</v>
      </c>
      <c r="D4437">
        <v>580</v>
      </c>
      <c r="E4437">
        <v>580</v>
      </c>
      <c r="F4437">
        <v>580</v>
      </c>
      <c r="G4437" s="1">
        <v>3.7499999999999999E-2</v>
      </c>
      <c r="H4437" s="1">
        <v>3.7400000000000003E-2</v>
      </c>
      <c r="I4437" s="1">
        <v>3.7400000000000003E-2</v>
      </c>
      <c r="J4437" s="1">
        <v>1</v>
      </c>
    </row>
    <row r="4438" spans="1:10" x14ac:dyDescent="0.2">
      <c r="A4438" t="str">
        <f>"09/03/2008"</f>
        <v>09/03/2008</v>
      </c>
      <c r="B4438">
        <v>1</v>
      </c>
      <c r="C4438">
        <v>2000</v>
      </c>
      <c r="D4438">
        <v>50</v>
      </c>
      <c r="E4438">
        <v>50</v>
      </c>
      <c r="F4438">
        <v>50</v>
      </c>
      <c r="G4438" s="1">
        <v>3.7499999999999999E-2</v>
      </c>
      <c r="H4438" s="1">
        <v>3.7499999999999999E-2</v>
      </c>
      <c r="I4438" s="1">
        <v>3.7499999999999999E-2</v>
      </c>
      <c r="J4438" s="1">
        <v>1</v>
      </c>
    </row>
    <row r="4439" spans="1:10" x14ac:dyDescent="0.2">
      <c r="A4439" t="str">
        <f>"06/03/2008"</f>
        <v>06/03/2008</v>
      </c>
      <c r="B4439">
        <v>3</v>
      </c>
      <c r="C4439">
        <v>2000</v>
      </c>
      <c r="D4439">
        <v>2000</v>
      </c>
      <c r="E4439">
        <v>2000</v>
      </c>
      <c r="F4439">
        <v>2000</v>
      </c>
      <c r="G4439" s="1">
        <v>3.7499999999999999E-2</v>
      </c>
      <c r="H4439" s="1">
        <v>3.7499999999999999E-2</v>
      </c>
      <c r="I4439" s="1">
        <v>3.7499999999999999E-2</v>
      </c>
      <c r="J4439" s="1">
        <v>1</v>
      </c>
    </row>
    <row r="4440" spans="1:10" x14ac:dyDescent="0.2">
      <c r="A4440" t="str">
        <f>"05/03/2008"</f>
        <v>05/03/2008</v>
      </c>
      <c r="B4440">
        <v>1</v>
      </c>
      <c r="C4440">
        <v>2000</v>
      </c>
      <c r="D4440">
        <v>1700</v>
      </c>
      <c r="E4440">
        <v>1700</v>
      </c>
      <c r="F4440">
        <v>1700</v>
      </c>
      <c r="G4440" s="1">
        <v>3.7499999999999999E-2</v>
      </c>
      <c r="H4440" s="1">
        <v>3.7499999999999999E-2</v>
      </c>
      <c r="I4440" s="1">
        <v>3.7499999999999999E-2</v>
      </c>
      <c r="J4440" s="1">
        <v>1</v>
      </c>
    </row>
    <row r="4441" spans="1:10" x14ac:dyDescent="0.2">
      <c r="A4441" t="str">
        <f>"15/01/2008"</f>
        <v>15/01/2008</v>
      </c>
      <c r="B4441">
        <v>1</v>
      </c>
      <c r="C4441">
        <v>2000</v>
      </c>
      <c r="D4441">
        <v>1590</v>
      </c>
      <c r="E4441">
        <v>1590</v>
      </c>
      <c r="F4441">
        <v>1590</v>
      </c>
      <c r="G4441" s="1">
        <v>4.2500000000000003E-2</v>
      </c>
      <c r="H4441" s="1">
        <v>4.2500000000000003E-2</v>
      </c>
      <c r="I4441" s="1">
        <v>4.2500000000000003E-2</v>
      </c>
      <c r="J4441" s="1">
        <v>1</v>
      </c>
    </row>
    <row r="4442" spans="1:10" x14ac:dyDescent="0.2">
      <c r="A4442" t="str">
        <f>"14/01/2008"</f>
        <v>14/01/2008</v>
      </c>
      <c r="B4442">
        <v>1</v>
      </c>
      <c r="C4442">
        <v>2500</v>
      </c>
      <c r="D4442">
        <v>1025</v>
      </c>
      <c r="E4442">
        <v>1025</v>
      </c>
      <c r="F4442">
        <v>1025</v>
      </c>
      <c r="G4442" s="1">
        <v>4.2500000000000003E-2</v>
      </c>
      <c r="H4442" s="1">
        <v>4.2500000000000003E-2</v>
      </c>
      <c r="I4442" s="1">
        <v>4.2500000000000003E-2</v>
      </c>
      <c r="J4442" s="1">
        <v>1</v>
      </c>
    </row>
    <row r="4443" spans="1:10" x14ac:dyDescent="0.2">
      <c r="A4443" t="str">
        <f>"13/01/2008"</f>
        <v>13/01/2008</v>
      </c>
      <c r="B4443">
        <v>1</v>
      </c>
      <c r="C4443">
        <v>2000</v>
      </c>
      <c r="D4443">
        <v>1800</v>
      </c>
      <c r="E4443">
        <v>1800</v>
      </c>
      <c r="F4443">
        <v>1800</v>
      </c>
      <c r="G4443" s="1">
        <v>4.2500000000000003E-2</v>
      </c>
      <c r="H4443" s="1">
        <v>4.2500000000000003E-2</v>
      </c>
      <c r="I4443" s="1">
        <v>4.2500000000000003E-2</v>
      </c>
      <c r="J4443" s="1">
        <v>1</v>
      </c>
    </row>
    <row r="4444" spans="1:10" x14ac:dyDescent="0.2">
      <c r="A4444" t="str">
        <f>"10/01/2008"</f>
        <v>10/01/2008</v>
      </c>
      <c r="B4444">
        <v>3</v>
      </c>
      <c r="C4444">
        <v>2500</v>
      </c>
      <c r="D4444">
        <v>1950</v>
      </c>
      <c r="E4444">
        <v>1950</v>
      </c>
      <c r="F4444">
        <v>1950</v>
      </c>
      <c r="G4444" s="1">
        <v>4.2500000000000003E-2</v>
      </c>
      <c r="H4444" s="1">
        <v>4.2500000000000003E-2</v>
      </c>
      <c r="I4444" s="1">
        <v>4.2500000000000003E-2</v>
      </c>
      <c r="J4444" s="1">
        <v>1</v>
      </c>
    </row>
    <row r="4445" spans="1:10" x14ac:dyDescent="0.2">
      <c r="A4445" t="str">
        <f>"09/01/2008"</f>
        <v>09/01/2008</v>
      </c>
      <c r="B4445">
        <v>1</v>
      </c>
      <c r="C4445">
        <v>3000</v>
      </c>
      <c r="D4445">
        <v>3800</v>
      </c>
      <c r="E4445">
        <v>3000</v>
      </c>
      <c r="F4445">
        <v>3000</v>
      </c>
      <c r="G4445" s="1">
        <v>4.2500000000000003E-2</v>
      </c>
      <c r="H4445" s="1">
        <v>4.2500000000000003E-2</v>
      </c>
      <c r="I4445" s="1">
        <v>4.2500000000000003E-2</v>
      </c>
      <c r="J4445" s="1">
        <v>0.78380000000000005</v>
      </c>
    </row>
    <row r="4446" spans="1:10" x14ac:dyDescent="0.2">
      <c r="A4446" t="str">
        <f>"08/01/2008"</f>
        <v>08/01/2008</v>
      </c>
      <c r="B4446">
        <v>1</v>
      </c>
      <c r="C4446">
        <v>7000</v>
      </c>
      <c r="D4446">
        <v>8130</v>
      </c>
      <c r="E4446">
        <v>7000</v>
      </c>
      <c r="F4446">
        <v>7000</v>
      </c>
      <c r="G4446" s="1">
        <v>4.2500000000000003E-2</v>
      </c>
      <c r="H4446" s="1">
        <v>4.2500000000000003E-2</v>
      </c>
      <c r="I4446" s="1">
        <v>4.2500000000000003E-2</v>
      </c>
      <c r="J4446" s="1">
        <v>0.85960000000000003</v>
      </c>
    </row>
    <row r="4447" spans="1:10" x14ac:dyDescent="0.2">
      <c r="A4447" t="str">
        <f>"07/01/2008"</f>
        <v>07/01/2008</v>
      </c>
      <c r="B4447">
        <v>1</v>
      </c>
      <c r="C4447">
        <v>8000</v>
      </c>
      <c r="D4447">
        <v>6425</v>
      </c>
      <c r="E4447">
        <v>6425</v>
      </c>
      <c r="F4447">
        <v>6425</v>
      </c>
      <c r="G4447" s="1">
        <v>4.2500000000000003E-2</v>
      </c>
      <c r="H4447" s="1">
        <v>4.2500000000000003E-2</v>
      </c>
      <c r="I4447" s="1">
        <v>4.2500000000000003E-2</v>
      </c>
      <c r="J4447" s="1">
        <v>1</v>
      </c>
    </row>
    <row r="4448" spans="1:10" x14ac:dyDescent="0.2">
      <c r="A4448" t="str">
        <f>"06/01/2008"</f>
        <v>06/01/2008</v>
      </c>
      <c r="B4448">
        <v>1</v>
      </c>
      <c r="C4448">
        <v>8000</v>
      </c>
      <c r="D4448">
        <v>8830</v>
      </c>
      <c r="E4448">
        <v>8000</v>
      </c>
      <c r="F4448">
        <v>8000</v>
      </c>
      <c r="G4448" s="1">
        <v>4.2500000000000003E-2</v>
      </c>
      <c r="H4448" s="1">
        <v>4.2500000000000003E-2</v>
      </c>
      <c r="I4448" s="1">
        <v>4.2500000000000003E-2</v>
      </c>
      <c r="J4448" s="1">
        <v>0.89780000000000004</v>
      </c>
    </row>
    <row r="4449" spans="1:10" x14ac:dyDescent="0.2">
      <c r="A4449" t="str">
        <f>"03/01/2008"</f>
        <v>03/01/2008</v>
      </c>
      <c r="B4449">
        <v>3</v>
      </c>
      <c r="C4449">
        <v>8500</v>
      </c>
      <c r="D4449">
        <v>6630</v>
      </c>
      <c r="E4449">
        <v>6630</v>
      </c>
      <c r="F4449">
        <v>6630</v>
      </c>
      <c r="G4449" s="1">
        <v>4.2500000000000003E-2</v>
      </c>
      <c r="H4449" s="1">
        <v>4.2500000000000003E-2</v>
      </c>
      <c r="I4449" s="1">
        <v>4.2500000000000003E-2</v>
      </c>
      <c r="J4449" s="1">
        <v>1</v>
      </c>
    </row>
    <row r="4450" spans="1:10" x14ac:dyDescent="0.2">
      <c r="A4450" t="str">
        <f>"02/01/2008"</f>
        <v>02/01/2008</v>
      </c>
      <c r="B4450">
        <v>1</v>
      </c>
      <c r="C4450">
        <v>8000</v>
      </c>
      <c r="D4450">
        <v>8750</v>
      </c>
      <c r="E4450">
        <v>8000</v>
      </c>
      <c r="F4450">
        <v>8000</v>
      </c>
      <c r="G4450" s="1">
        <v>4.2500000000000003E-2</v>
      </c>
      <c r="H4450" s="1">
        <v>4.2500000000000003E-2</v>
      </c>
      <c r="I4450" s="1">
        <v>4.2500000000000003E-2</v>
      </c>
      <c r="J4450" s="1">
        <v>0.91020000000000001</v>
      </c>
    </row>
    <row r="4451" spans="1:10" x14ac:dyDescent="0.2">
      <c r="A4451" t="str">
        <f>"01/01/2008"</f>
        <v>01/01/2008</v>
      </c>
      <c r="B4451">
        <v>1</v>
      </c>
      <c r="C4451">
        <v>5000</v>
      </c>
      <c r="D4451">
        <v>1930</v>
      </c>
      <c r="E4451">
        <v>1930</v>
      </c>
      <c r="F4451">
        <v>1930</v>
      </c>
      <c r="G4451" s="1">
        <v>4.2500000000000003E-2</v>
      </c>
      <c r="H4451" s="1">
        <v>4.2500000000000003E-2</v>
      </c>
      <c r="I4451" s="1">
        <v>4.2500000000000003E-2</v>
      </c>
      <c r="J4451" s="1">
        <v>1</v>
      </c>
    </row>
    <row r="4452" spans="1:10" x14ac:dyDescent="0.2">
      <c r="A4452" t="str">
        <f>"16/12/2007"</f>
        <v>16/12/2007</v>
      </c>
      <c r="B4452">
        <v>1</v>
      </c>
      <c r="C4452">
        <v>3000</v>
      </c>
      <c r="D4452">
        <v>5260</v>
      </c>
      <c r="E4452">
        <v>3000</v>
      </c>
      <c r="F4452">
        <v>3000</v>
      </c>
      <c r="G4452" s="1">
        <v>0.04</v>
      </c>
      <c r="H4452" s="1">
        <v>0.04</v>
      </c>
      <c r="I4452" s="1">
        <v>0.04</v>
      </c>
      <c r="J4452" s="1">
        <v>0.57030000000000003</v>
      </c>
    </row>
    <row r="4453" spans="1:10" x14ac:dyDescent="0.2">
      <c r="A4453" t="str">
        <f>"13/12/2007"</f>
        <v>13/12/2007</v>
      </c>
      <c r="B4453">
        <v>3</v>
      </c>
      <c r="C4453">
        <v>3000</v>
      </c>
      <c r="D4453">
        <v>2000</v>
      </c>
      <c r="E4453">
        <v>2000</v>
      </c>
      <c r="F4453">
        <v>2000</v>
      </c>
      <c r="G4453" s="1">
        <v>0.04</v>
      </c>
      <c r="H4453" s="1">
        <v>0.04</v>
      </c>
      <c r="I4453" s="1">
        <v>0.04</v>
      </c>
      <c r="J4453" s="1">
        <v>1</v>
      </c>
    </row>
    <row r="4454" spans="1:10" x14ac:dyDescent="0.2">
      <c r="A4454" t="str">
        <f>"12/12/2007"</f>
        <v>12/12/2007</v>
      </c>
      <c r="B4454">
        <v>1</v>
      </c>
      <c r="C4454">
        <v>2000</v>
      </c>
      <c r="D4454">
        <v>2700</v>
      </c>
      <c r="E4454">
        <v>2000</v>
      </c>
      <c r="F4454">
        <v>2000</v>
      </c>
      <c r="G4454" s="1">
        <v>0.04</v>
      </c>
      <c r="H4454" s="1">
        <v>0.04</v>
      </c>
      <c r="I4454" s="1">
        <v>0.04</v>
      </c>
      <c r="J4454" s="1">
        <v>0.74070000000000003</v>
      </c>
    </row>
    <row r="4455" spans="1:10" x14ac:dyDescent="0.2">
      <c r="A4455" t="str">
        <f>"11/12/2007"</f>
        <v>11/12/2007</v>
      </c>
      <c r="B4455">
        <v>1</v>
      </c>
      <c r="C4455">
        <v>2000</v>
      </c>
      <c r="G4455" t="s">
        <v>0</v>
      </c>
      <c r="H4455" t="s">
        <v>0</v>
      </c>
      <c r="I4455" t="s">
        <v>0</v>
      </c>
      <c r="J4455" t="s">
        <v>0</v>
      </c>
    </row>
    <row r="4456" spans="1:10" x14ac:dyDescent="0.2">
      <c r="A4456" t="str">
        <f>"10/12/2007"</f>
        <v>10/12/2007</v>
      </c>
      <c r="B4456">
        <v>1</v>
      </c>
      <c r="C4456">
        <v>2500</v>
      </c>
      <c r="D4456">
        <v>4200</v>
      </c>
      <c r="E4456">
        <v>2500</v>
      </c>
      <c r="F4456">
        <v>2500</v>
      </c>
      <c r="G4456" s="1">
        <v>0.04</v>
      </c>
      <c r="H4456" s="1">
        <v>0.04</v>
      </c>
      <c r="I4456" s="1">
        <v>0.04</v>
      </c>
      <c r="J4456" s="1">
        <v>0.59519999999999995</v>
      </c>
    </row>
    <row r="4457" spans="1:10" x14ac:dyDescent="0.2">
      <c r="A4457" t="str">
        <f>"09/12/2007"</f>
        <v>09/12/2007</v>
      </c>
      <c r="B4457">
        <v>1</v>
      </c>
      <c r="C4457">
        <v>2000</v>
      </c>
      <c r="D4457">
        <v>3880</v>
      </c>
      <c r="E4457">
        <v>2000</v>
      </c>
      <c r="F4457">
        <v>2000</v>
      </c>
      <c r="G4457" s="1">
        <v>0.04</v>
      </c>
      <c r="H4457" s="1">
        <v>0.04</v>
      </c>
      <c r="I4457" s="1">
        <v>0.04</v>
      </c>
      <c r="J4457" s="1">
        <v>0.51549999999999996</v>
      </c>
    </row>
    <row r="4458" spans="1:10" x14ac:dyDescent="0.2">
      <c r="A4458" t="str">
        <f>"06/12/2007"</f>
        <v>06/12/2007</v>
      </c>
      <c r="B4458">
        <v>3</v>
      </c>
      <c r="C4458">
        <v>2000</v>
      </c>
      <c r="G4458" t="s">
        <v>0</v>
      </c>
      <c r="H4458" t="s">
        <v>0</v>
      </c>
      <c r="I4458" t="s">
        <v>0</v>
      </c>
      <c r="J4458" t="s">
        <v>0</v>
      </c>
    </row>
    <row r="4459" spans="1:10" x14ac:dyDescent="0.2">
      <c r="A4459" t="str">
        <f>"05/12/2007"</f>
        <v>05/12/2007</v>
      </c>
      <c r="B4459">
        <v>1</v>
      </c>
      <c r="C4459">
        <v>2000</v>
      </c>
      <c r="G4459" t="s">
        <v>0</v>
      </c>
      <c r="H4459" t="s">
        <v>0</v>
      </c>
      <c r="I4459" t="s">
        <v>0</v>
      </c>
      <c r="J4459" t="s">
        <v>0</v>
      </c>
    </row>
    <row r="4460" spans="1:10" x14ac:dyDescent="0.2">
      <c r="A4460" t="str">
        <f>"15/11/2007"</f>
        <v>15/11/2007</v>
      </c>
      <c r="B4460">
        <v>1</v>
      </c>
      <c r="C4460">
        <v>4000</v>
      </c>
      <c r="D4460">
        <v>4465</v>
      </c>
      <c r="E4460">
        <v>4000</v>
      </c>
      <c r="F4460">
        <v>4000</v>
      </c>
      <c r="G4460" s="1">
        <v>0.04</v>
      </c>
      <c r="H4460" s="1">
        <v>0.04</v>
      </c>
      <c r="I4460" s="1">
        <v>0.04</v>
      </c>
      <c r="J4460" s="1">
        <v>0.89590000000000003</v>
      </c>
    </row>
    <row r="4461" spans="1:10" x14ac:dyDescent="0.2">
      <c r="A4461" t="str">
        <f>"14/11/2007"</f>
        <v>14/11/2007</v>
      </c>
      <c r="B4461">
        <v>1</v>
      </c>
      <c r="C4461">
        <v>2500</v>
      </c>
      <c r="D4461">
        <v>2500</v>
      </c>
      <c r="E4461">
        <v>2500</v>
      </c>
      <c r="F4461">
        <v>2500</v>
      </c>
      <c r="G4461" s="1">
        <v>0.04</v>
      </c>
      <c r="H4461" s="1">
        <v>0.04</v>
      </c>
      <c r="I4461" s="1">
        <v>0.04</v>
      </c>
      <c r="J4461" s="1">
        <v>1</v>
      </c>
    </row>
    <row r="4462" spans="1:10" x14ac:dyDescent="0.2">
      <c r="A4462" t="str">
        <f>"13/11/2007"</f>
        <v>13/11/2007</v>
      </c>
      <c r="B4462">
        <v>1</v>
      </c>
      <c r="C4462">
        <v>2500</v>
      </c>
      <c r="D4462">
        <v>2900</v>
      </c>
      <c r="E4462">
        <v>2500</v>
      </c>
      <c r="F4462">
        <v>2500</v>
      </c>
      <c r="G4462" s="1">
        <v>0.04</v>
      </c>
      <c r="H4462" s="1">
        <v>0.04</v>
      </c>
      <c r="I4462" s="1">
        <v>0.04</v>
      </c>
      <c r="J4462" s="1">
        <v>0.86209999999999998</v>
      </c>
    </row>
    <row r="4463" spans="1:10" x14ac:dyDescent="0.2">
      <c r="A4463" t="str">
        <f>"12/11/2007"</f>
        <v>12/11/2007</v>
      </c>
      <c r="B4463">
        <v>1</v>
      </c>
      <c r="C4463">
        <v>3000</v>
      </c>
      <c r="D4463">
        <v>4250</v>
      </c>
      <c r="E4463">
        <v>3000</v>
      </c>
      <c r="F4463">
        <v>3000</v>
      </c>
      <c r="G4463" s="1">
        <v>0.04</v>
      </c>
      <c r="H4463" s="1">
        <v>0.04</v>
      </c>
      <c r="I4463" s="1">
        <v>0.04</v>
      </c>
      <c r="J4463" s="1">
        <v>0.70589999999999997</v>
      </c>
    </row>
    <row r="4464" spans="1:10" x14ac:dyDescent="0.2">
      <c r="A4464" t="str">
        <f>"11/11/2007"</f>
        <v>11/11/2007</v>
      </c>
      <c r="B4464">
        <v>1</v>
      </c>
      <c r="C4464">
        <v>3000</v>
      </c>
      <c r="D4464">
        <v>4440</v>
      </c>
      <c r="E4464">
        <v>3000</v>
      </c>
      <c r="F4464">
        <v>3000</v>
      </c>
      <c r="G4464" s="1">
        <v>0.04</v>
      </c>
      <c r="H4464" s="1">
        <v>0.04</v>
      </c>
      <c r="I4464" s="1">
        <v>0.04</v>
      </c>
      <c r="J4464" s="1">
        <v>0.67569999999999997</v>
      </c>
    </row>
    <row r="4465" spans="1:10" x14ac:dyDescent="0.2">
      <c r="A4465" t="str">
        <f>"08/11/2007"</f>
        <v>08/11/2007</v>
      </c>
      <c r="B4465">
        <v>3</v>
      </c>
      <c r="C4465">
        <v>3000</v>
      </c>
      <c r="D4465">
        <v>3000</v>
      </c>
      <c r="E4465">
        <v>3000</v>
      </c>
      <c r="F4465">
        <v>3000</v>
      </c>
      <c r="G4465" s="1">
        <v>0.04</v>
      </c>
      <c r="H4465" s="1">
        <v>0.04</v>
      </c>
      <c r="I4465" s="1">
        <v>0.04</v>
      </c>
      <c r="J4465" s="1">
        <v>1</v>
      </c>
    </row>
    <row r="4466" spans="1:10" x14ac:dyDescent="0.2">
      <c r="A4466" t="str">
        <f>"07/11/2007"</f>
        <v>07/11/2007</v>
      </c>
      <c r="B4466">
        <v>1</v>
      </c>
      <c r="C4466">
        <v>2500</v>
      </c>
      <c r="D4466">
        <v>975</v>
      </c>
      <c r="E4466">
        <v>975</v>
      </c>
      <c r="F4466">
        <v>975</v>
      </c>
      <c r="G4466" s="1">
        <v>0.04</v>
      </c>
      <c r="H4466" s="1">
        <v>0.04</v>
      </c>
      <c r="I4466" s="1">
        <v>0.04</v>
      </c>
      <c r="J4466" s="1">
        <v>1</v>
      </c>
    </row>
    <row r="4467" spans="1:10" x14ac:dyDescent="0.2">
      <c r="A4467" t="str">
        <f>"15/10/2007"</f>
        <v>15/10/2007</v>
      </c>
      <c r="B4467">
        <v>1</v>
      </c>
      <c r="C4467">
        <v>2000</v>
      </c>
      <c r="D4467">
        <v>2550</v>
      </c>
      <c r="E4467">
        <v>2000</v>
      </c>
      <c r="F4467">
        <v>2000</v>
      </c>
      <c r="G4467" s="1">
        <v>0.04</v>
      </c>
      <c r="H4467" s="1">
        <v>0.04</v>
      </c>
      <c r="I4467" s="1">
        <v>0.04</v>
      </c>
      <c r="J4467" s="1">
        <v>0.7843</v>
      </c>
    </row>
    <row r="4468" spans="1:10" x14ac:dyDescent="0.2">
      <c r="A4468" t="str">
        <f>"14/10/2007"</f>
        <v>14/10/2007</v>
      </c>
      <c r="B4468">
        <v>1</v>
      </c>
      <c r="C4468">
        <v>2000</v>
      </c>
      <c r="D4468">
        <v>2240</v>
      </c>
      <c r="E4468">
        <v>2000</v>
      </c>
      <c r="F4468">
        <v>2000</v>
      </c>
      <c r="G4468" s="1">
        <v>0.04</v>
      </c>
      <c r="H4468" s="1">
        <v>0.04</v>
      </c>
      <c r="I4468" s="1">
        <v>0.04</v>
      </c>
      <c r="J4468" s="1">
        <v>0.88</v>
      </c>
    </row>
    <row r="4469" spans="1:10" x14ac:dyDescent="0.2">
      <c r="A4469" t="str">
        <f>"11/10/2007"</f>
        <v>11/10/2007</v>
      </c>
      <c r="B4469">
        <v>3</v>
      </c>
      <c r="C4469">
        <v>2000</v>
      </c>
      <c r="D4469">
        <v>1330</v>
      </c>
      <c r="E4469">
        <v>1330</v>
      </c>
      <c r="F4469">
        <v>1330</v>
      </c>
      <c r="G4469" s="1">
        <v>0.04</v>
      </c>
      <c r="H4469" s="1">
        <v>0.04</v>
      </c>
      <c r="I4469" s="1">
        <v>0.04</v>
      </c>
      <c r="J4469" s="1">
        <v>1</v>
      </c>
    </row>
    <row r="4470" spans="1:10" x14ac:dyDescent="0.2">
      <c r="A4470" t="str">
        <f>"09/10/2007"</f>
        <v>09/10/2007</v>
      </c>
      <c r="B4470">
        <v>1</v>
      </c>
      <c r="C4470">
        <v>2000</v>
      </c>
      <c r="D4470">
        <v>600</v>
      </c>
      <c r="E4470">
        <v>600</v>
      </c>
      <c r="F4470">
        <v>600</v>
      </c>
      <c r="G4470" s="1">
        <v>0.04</v>
      </c>
      <c r="H4470" s="1">
        <v>0.04</v>
      </c>
      <c r="I4470" s="1">
        <v>0.04</v>
      </c>
      <c r="J4470" s="1">
        <v>1</v>
      </c>
    </row>
    <row r="4471" spans="1:10" x14ac:dyDescent="0.2">
      <c r="A4471" t="str">
        <f>"08/10/2007"</f>
        <v>08/10/2007</v>
      </c>
      <c r="B4471">
        <v>1</v>
      </c>
      <c r="C4471">
        <v>2000</v>
      </c>
      <c r="D4471">
        <v>1100</v>
      </c>
      <c r="E4471">
        <v>1100</v>
      </c>
      <c r="F4471">
        <v>1100</v>
      </c>
      <c r="G4471" s="1">
        <v>0.04</v>
      </c>
      <c r="H4471" s="1">
        <v>3.9899999999999998E-2</v>
      </c>
      <c r="I4471" s="1">
        <v>3.9899999999999998E-2</v>
      </c>
      <c r="J4471" s="1">
        <v>1</v>
      </c>
    </row>
    <row r="4472" spans="1:10" x14ac:dyDescent="0.2">
      <c r="A4472" t="str">
        <f>"07/10/2007"</f>
        <v>07/10/2007</v>
      </c>
      <c r="B4472">
        <v>1</v>
      </c>
      <c r="C4472">
        <v>2000</v>
      </c>
      <c r="D4472">
        <v>3580</v>
      </c>
      <c r="E4472">
        <v>2000</v>
      </c>
      <c r="F4472">
        <v>2000</v>
      </c>
      <c r="G4472" s="1">
        <v>0.04</v>
      </c>
      <c r="H4472" s="1">
        <v>0.04</v>
      </c>
      <c r="I4472" s="1">
        <v>0.04</v>
      </c>
      <c r="J4472" s="1">
        <v>0.48699999999999999</v>
      </c>
    </row>
    <row r="4473" spans="1:10" x14ac:dyDescent="0.2">
      <c r="A4473" t="str">
        <f>"03/10/2007"</f>
        <v>03/10/2007</v>
      </c>
      <c r="B4473">
        <v>4</v>
      </c>
      <c r="C4473">
        <v>2000</v>
      </c>
      <c r="D4473">
        <v>1400</v>
      </c>
      <c r="E4473">
        <v>1400</v>
      </c>
      <c r="F4473">
        <v>1400</v>
      </c>
      <c r="G4473" s="1">
        <v>0.04</v>
      </c>
      <c r="H4473" s="1">
        <v>0.04</v>
      </c>
      <c r="I4473" s="1">
        <v>0.04</v>
      </c>
      <c r="J4473" s="1">
        <v>1</v>
      </c>
    </row>
    <row r="4474" spans="1:10" x14ac:dyDescent="0.2">
      <c r="A4474" t="str">
        <f>"15/08/2007"</f>
        <v>15/08/2007</v>
      </c>
      <c r="B4474">
        <v>1</v>
      </c>
      <c r="C4474">
        <v>2500</v>
      </c>
      <c r="D4474">
        <v>1616</v>
      </c>
      <c r="E4474">
        <v>1616</v>
      </c>
      <c r="F4474">
        <v>1616</v>
      </c>
      <c r="G4474" s="1">
        <v>3.7499999999999999E-2</v>
      </c>
      <c r="H4474" s="1">
        <v>3.7499999999999999E-2</v>
      </c>
      <c r="I4474" s="1">
        <v>3.7499999999999999E-2</v>
      </c>
      <c r="J4474" s="1">
        <v>1</v>
      </c>
    </row>
    <row r="4475" spans="1:10" x14ac:dyDescent="0.2">
      <c r="A4475" t="str">
        <f>"14/08/2007"</f>
        <v>14/08/2007</v>
      </c>
      <c r="B4475">
        <v>1</v>
      </c>
      <c r="C4475">
        <v>4000</v>
      </c>
      <c r="D4475">
        <v>5650</v>
      </c>
      <c r="E4475">
        <v>4000</v>
      </c>
      <c r="F4475">
        <v>4000</v>
      </c>
      <c r="G4475" s="1">
        <v>3.7499999999999999E-2</v>
      </c>
      <c r="H4475" s="1">
        <v>3.7499999999999999E-2</v>
      </c>
      <c r="I4475" s="1">
        <v>3.7499999999999999E-2</v>
      </c>
      <c r="J4475" s="1">
        <v>0.68869999999999998</v>
      </c>
    </row>
    <row r="4476" spans="1:10" x14ac:dyDescent="0.2">
      <c r="A4476" t="str">
        <f>"13/08/2007"</f>
        <v>13/08/2007</v>
      </c>
      <c r="B4476">
        <v>1</v>
      </c>
      <c r="C4476">
        <v>5000</v>
      </c>
      <c r="D4476">
        <v>9000</v>
      </c>
      <c r="E4476">
        <v>5000</v>
      </c>
      <c r="F4476">
        <v>5000</v>
      </c>
      <c r="G4476" s="1">
        <v>3.7499999999999999E-2</v>
      </c>
      <c r="H4476" s="1">
        <v>3.7499999999999999E-2</v>
      </c>
      <c r="I4476" s="1">
        <v>3.7499999999999999E-2</v>
      </c>
      <c r="J4476" s="1">
        <v>0.53649999999999998</v>
      </c>
    </row>
    <row r="4477" spans="1:10" x14ac:dyDescent="0.2">
      <c r="A4477" t="str">
        <f>"12/08/2007"</f>
        <v>12/08/2007</v>
      </c>
      <c r="B4477">
        <v>1</v>
      </c>
      <c r="C4477">
        <v>4000</v>
      </c>
      <c r="D4477">
        <v>7510</v>
      </c>
      <c r="E4477">
        <v>4000</v>
      </c>
      <c r="F4477">
        <v>4000</v>
      </c>
      <c r="G4477" s="1">
        <v>3.7499999999999999E-2</v>
      </c>
      <c r="H4477" s="1">
        <v>3.7499999999999999E-2</v>
      </c>
      <c r="I4477" s="1">
        <v>3.7499999999999999E-2</v>
      </c>
      <c r="J4477" s="1">
        <v>0.53259999999999996</v>
      </c>
    </row>
    <row r="4478" spans="1:10" x14ac:dyDescent="0.2">
      <c r="A4478" t="str">
        <f>"09/08/2007"</f>
        <v>09/08/2007</v>
      </c>
      <c r="B4478">
        <v>3</v>
      </c>
      <c r="C4478">
        <v>4500</v>
      </c>
      <c r="D4478">
        <v>9220</v>
      </c>
      <c r="E4478">
        <v>4500</v>
      </c>
      <c r="F4478">
        <v>4500</v>
      </c>
      <c r="G4478" s="1">
        <v>3.7499999999999999E-2</v>
      </c>
      <c r="H4478" s="1">
        <v>3.7499999999999999E-2</v>
      </c>
      <c r="I4478" s="1">
        <v>3.7499999999999999E-2</v>
      </c>
      <c r="J4478" s="1">
        <v>0.4587</v>
      </c>
    </row>
    <row r="4479" spans="1:10" x14ac:dyDescent="0.2">
      <c r="A4479" t="str">
        <f>"08/08/2007"</f>
        <v>08/08/2007</v>
      </c>
      <c r="B4479">
        <v>1</v>
      </c>
      <c r="C4479">
        <v>5000</v>
      </c>
      <c r="D4479">
        <v>7722</v>
      </c>
      <c r="E4479">
        <v>5000</v>
      </c>
      <c r="F4479">
        <v>5000</v>
      </c>
      <c r="G4479" s="1">
        <v>3.7499999999999999E-2</v>
      </c>
      <c r="H4479" s="1">
        <v>3.7499999999999999E-2</v>
      </c>
      <c r="I4479" s="1">
        <v>3.7499999999999999E-2</v>
      </c>
      <c r="J4479" s="1">
        <v>0.62190000000000001</v>
      </c>
    </row>
    <row r="4480" spans="1:10" x14ac:dyDescent="0.2">
      <c r="A4480" t="str">
        <f>"07/08/2007"</f>
        <v>07/08/2007</v>
      </c>
      <c r="B4480">
        <v>1</v>
      </c>
      <c r="C4480">
        <v>10000</v>
      </c>
      <c r="D4480">
        <v>13298</v>
      </c>
      <c r="E4480">
        <v>10000</v>
      </c>
      <c r="F4480">
        <v>10000</v>
      </c>
      <c r="G4480" s="1">
        <v>3.7499999999999999E-2</v>
      </c>
      <c r="H4480" s="1">
        <v>3.7499999999999999E-2</v>
      </c>
      <c r="I4480" s="1">
        <v>3.7499999999999999E-2</v>
      </c>
      <c r="J4480" s="1">
        <v>0.70809999999999995</v>
      </c>
    </row>
    <row r="4481" spans="1:10" x14ac:dyDescent="0.2">
      <c r="A4481" t="str">
        <f>"06/08/2007"</f>
        <v>06/08/2007</v>
      </c>
      <c r="B4481">
        <v>1</v>
      </c>
      <c r="C4481">
        <v>11500</v>
      </c>
      <c r="D4481">
        <v>13450</v>
      </c>
      <c r="E4481">
        <v>11500</v>
      </c>
      <c r="F4481">
        <v>11500</v>
      </c>
      <c r="G4481" s="1">
        <v>3.7499999999999999E-2</v>
      </c>
      <c r="H4481" s="1">
        <v>3.7499999999999999E-2</v>
      </c>
      <c r="I4481" s="1">
        <v>3.7499999999999999E-2</v>
      </c>
      <c r="J4481" s="1">
        <v>0.81859999999999999</v>
      </c>
    </row>
    <row r="4482" spans="1:10" x14ac:dyDescent="0.2">
      <c r="A4482" t="str">
        <f>"05/08/2007"</f>
        <v>05/08/2007</v>
      </c>
      <c r="B4482">
        <v>1</v>
      </c>
      <c r="C4482">
        <v>11500</v>
      </c>
      <c r="D4482">
        <v>12555</v>
      </c>
      <c r="E4482">
        <v>11500</v>
      </c>
      <c r="F4482">
        <v>11500</v>
      </c>
      <c r="G4482" s="1">
        <v>3.7499999999999999E-2</v>
      </c>
      <c r="H4482" s="1">
        <v>3.7499999999999999E-2</v>
      </c>
      <c r="I4482" s="1">
        <v>3.7499999999999999E-2</v>
      </c>
      <c r="J4482" s="1">
        <v>0.91600000000000004</v>
      </c>
    </row>
    <row r="4483" spans="1:10" x14ac:dyDescent="0.2">
      <c r="A4483" t="str">
        <f>"02/08/2007"</f>
        <v>02/08/2007</v>
      </c>
      <c r="B4483">
        <v>3</v>
      </c>
      <c r="C4483">
        <v>11000</v>
      </c>
      <c r="D4483">
        <v>11715</v>
      </c>
      <c r="E4483">
        <v>11000</v>
      </c>
      <c r="F4483">
        <v>11000</v>
      </c>
      <c r="G4483" s="1">
        <v>3.7499999999999999E-2</v>
      </c>
      <c r="H4483" s="1">
        <v>3.7499999999999999E-2</v>
      </c>
      <c r="I4483" s="1">
        <v>3.7499999999999999E-2</v>
      </c>
      <c r="J4483" s="1">
        <v>0.93789999999999996</v>
      </c>
    </row>
    <row r="4484" spans="1:10" x14ac:dyDescent="0.2">
      <c r="A4484" t="str">
        <f>"01/08/2007"</f>
        <v>01/08/2007</v>
      </c>
      <c r="B4484">
        <v>1</v>
      </c>
      <c r="C4484">
        <v>10500</v>
      </c>
      <c r="D4484">
        <v>10382</v>
      </c>
      <c r="E4484">
        <v>10382</v>
      </c>
      <c r="F4484">
        <v>10382</v>
      </c>
      <c r="G4484" s="1">
        <v>3.7499999999999999E-2</v>
      </c>
      <c r="H4484" s="1">
        <v>3.7499999999999999E-2</v>
      </c>
      <c r="I4484" s="1">
        <v>3.7499999999999999E-2</v>
      </c>
      <c r="J4484" s="1">
        <v>1</v>
      </c>
    </row>
    <row r="4485" spans="1:10" x14ac:dyDescent="0.2">
      <c r="A4485" t="str">
        <f>"12/07/2007"</f>
        <v>12/07/2007</v>
      </c>
      <c r="B4485">
        <v>3</v>
      </c>
      <c r="C4485">
        <v>8000</v>
      </c>
      <c r="D4485">
        <v>6025</v>
      </c>
      <c r="E4485">
        <v>6025</v>
      </c>
      <c r="F4485">
        <v>6025</v>
      </c>
      <c r="G4485" s="1">
        <v>3.5000000000000003E-2</v>
      </c>
      <c r="H4485" s="1">
        <v>3.5000000000000003E-2</v>
      </c>
      <c r="I4485" s="1">
        <v>3.5000000000000003E-2</v>
      </c>
      <c r="J4485" s="1">
        <v>1</v>
      </c>
    </row>
    <row r="4486" spans="1:10" x14ac:dyDescent="0.2">
      <c r="A4486" t="str">
        <f>"11/07/2007"</f>
        <v>11/07/2007</v>
      </c>
      <c r="B4486">
        <v>1</v>
      </c>
      <c r="C4486">
        <v>8500</v>
      </c>
      <c r="D4486">
        <v>7150</v>
      </c>
      <c r="E4486">
        <v>7150</v>
      </c>
      <c r="F4486">
        <v>7150</v>
      </c>
      <c r="G4486" s="1">
        <v>3.5000000000000003E-2</v>
      </c>
      <c r="H4486" s="1">
        <v>3.5000000000000003E-2</v>
      </c>
      <c r="I4486" s="1">
        <v>3.5000000000000003E-2</v>
      </c>
      <c r="J4486" s="1">
        <v>1</v>
      </c>
    </row>
    <row r="4487" spans="1:10" x14ac:dyDescent="0.2">
      <c r="A4487" t="str">
        <f>"10/07/2007"</f>
        <v>10/07/2007</v>
      </c>
      <c r="B4487">
        <v>1</v>
      </c>
      <c r="C4487">
        <v>7500</v>
      </c>
      <c r="D4487">
        <v>8550</v>
      </c>
      <c r="E4487">
        <v>7500</v>
      </c>
      <c r="F4487">
        <v>7500</v>
      </c>
      <c r="G4487" s="1">
        <v>3.5000000000000003E-2</v>
      </c>
      <c r="H4487" s="1">
        <v>3.5000000000000003E-2</v>
      </c>
      <c r="I4487" s="1">
        <v>3.5000000000000003E-2</v>
      </c>
      <c r="J4487" s="1">
        <v>0.86729999999999996</v>
      </c>
    </row>
    <row r="4488" spans="1:10" x14ac:dyDescent="0.2">
      <c r="A4488" t="str">
        <f>"09/07/2007"</f>
        <v>09/07/2007</v>
      </c>
      <c r="B4488">
        <v>1</v>
      </c>
      <c r="C4488">
        <v>7500</v>
      </c>
      <c r="D4488">
        <v>7000</v>
      </c>
      <c r="E4488">
        <v>7000</v>
      </c>
      <c r="F4488">
        <v>7000</v>
      </c>
      <c r="G4488" s="1">
        <v>3.5000000000000003E-2</v>
      </c>
      <c r="H4488" s="1">
        <v>3.5000000000000003E-2</v>
      </c>
      <c r="I4488" s="1">
        <v>3.5000000000000003E-2</v>
      </c>
      <c r="J4488" s="1">
        <v>1</v>
      </c>
    </row>
    <row r="4489" spans="1:10" x14ac:dyDescent="0.2">
      <c r="A4489" t="str">
        <f>"08/07/2007"</f>
        <v>08/07/2007</v>
      </c>
      <c r="B4489">
        <v>1</v>
      </c>
      <c r="C4489">
        <v>7000</v>
      </c>
      <c r="D4489">
        <v>6820</v>
      </c>
      <c r="E4489">
        <v>6820</v>
      </c>
      <c r="F4489">
        <v>6820</v>
      </c>
      <c r="G4489" s="1">
        <v>3.5000000000000003E-2</v>
      </c>
      <c r="H4489" s="1">
        <v>3.5000000000000003E-2</v>
      </c>
      <c r="I4489" s="1">
        <v>3.5000000000000003E-2</v>
      </c>
      <c r="J4489" s="1">
        <v>1</v>
      </c>
    </row>
    <row r="4490" spans="1:10" x14ac:dyDescent="0.2">
      <c r="A4490" t="str">
        <f>"05/07/2007"</f>
        <v>05/07/2007</v>
      </c>
      <c r="B4490">
        <v>3</v>
      </c>
      <c r="C4490">
        <v>6000</v>
      </c>
      <c r="D4490">
        <v>4400</v>
      </c>
      <c r="E4490">
        <v>4400</v>
      </c>
      <c r="F4490">
        <v>4400</v>
      </c>
      <c r="G4490" s="1">
        <v>3.5000000000000003E-2</v>
      </c>
      <c r="H4490" s="1">
        <v>3.5000000000000003E-2</v>
      </c>
      <c r="I4490" s="1">
        <v>3.5000000000000003E-2</v>
      </c>
      <c r="J4490" s="1">
        <v>1</v>
      </c>
    </row>
    <row r="4491" spans="1:10" x14ac:dyDescent="0.2">
      <c r="A4491" t="str">
        <f>"04/07/2007"</f>
        <v>04/07/2007</v>
      </c>
      <c r="B4491">
        <v>1</v>
      </c>
      <c r="C4491">
        <v>6000</v>
      </c>
      <c r="D4491">
        <v>2460</v>
      </c>
      <c r="E4491">
        <v>2460</v>
      </c>
      <c r="F4491">
        <v>2460</v>
      </c>
      <c r="G4491" s="1">
        <v>3.5000000000000003E-2</v>
      </c>
      <c r="H4491" s="1">
        <v>3.5000000000000003E-2</v>
      </c>
      <c r="I4491" s="1">
        <v>3.5000000000000003E-2</v>
      </c>
      <c r="J4491" s="1">
        <v>1</v>
      </c>
    </row>
    <row r="4492" spans="1:10" x14ac:dyDescent="0.2">
      <c r="A4492" t="str">
        <f>"03/07/2007"</f>
        <v>03/07/2007</v>
      </c>
      <c r="B4492">
        <v>1</v>
      </c>
      <c r="C4492">
        <v>4000</v>
      </c>
      <c r="D4492">
        <v>2990</v>
      </c>
      <c r="E4492">
        <v>2990</v>
      </c>
      <c r="F4492">
        <v>2990</v>
      </c>
      <c r="G4492" s="1">
        <v>3.5000000000000003E-2</v>
      </c>
      <c r="H4492" s="1">
        <v>3.5000000000000003E-2</v>
      </c>
      <c r="I4492" s="1">
        <v>3.5000000000000003E-2</v>
      </c>
      <c r="J4492" s="1">
        <v>1</v>
      </c>
    </row>
    <row r="4493" spans="1:10" x14ac:dyDescent="0.2">
      <c r="A4493" t="str">
        <f>"02/07/2007"</f>
        <v>02/07/2007</v>
      </c>
      <c r="B4493">
        <v>1</v>
      </c>
      <c r="C4493">
        <v>5000</v>
      </c>
      <c r="D4493">
        <v>2400</v>
      </c>
      <c r="E4493">
        <v>2400</v>
      </c>
      <c r="F4493">
        <v>2400</v>
      </c>
      <c r="G4493" s="1">
        <v>3.5000000000000003E-2</v>
      </c>
      <c r="H4493" s="1">
        <v>3.5000000000000003E-2</v>
      </c>
      <c r="I4493" s="1">
        <v>3.5000000000000003E-2</v>
      </c>
      <c r="J4493" s="1">
        <v>1</v>
      </c>
    </row>
    <row r="4494" spans="1:10" x14ac:dyDescent="0.2">
      <c r="A4494" t="str">
        <f>"01/07/2007"</f>
        <v>01/07/2007</v>
      </c>
      <c r="B4494">
        <v>1</v>
      </c>
      <c r="C4494">
        <v>2000</v>
      </c>
      <c r="D4494">
        <v>920</v>
      </c>
      <c r="E4494">
        <v>920</v>
      </c>
      <c r="F4494">
        <v>920</v>
      </c>
      <c r="G4494" s="1">
        <v>3.5000000000000003E-2</v>
      </c>
      <c r="H4494" s="1">
        <v>3.49E-2</v>
      </c>
      <c r="I4494" s="1">
        <v>3.49E-2</v>
      </c>
      <c r="J4494" s="1">
        <v>1</v>
      </c>
    </row>
    <row r="4495" spans="1:10" x14ac:dyDescent="0.2">
      <c r="A4495" t="str">
        <f>"07/11/2006"</f>
        <v>07/11/2006</v>
      </c>
      <c r="B4495">
        <v>1</v>
      </c>
      <c r="C4495">
        <v>7000</v>
      </c>
      <c r="D4495">
        <v>7332</v>
      </c>
      <c r="E4495">
        <v>7000</v>
      </c>
      <c r="F4495">
        <v>7000</v>
      </c>
      <c r="G4495" s="1">
        <v>5.2499999999999998E-2</v>
      </c>
      <c r="H4495" s="1">
        <v>5.2499999999999998E-2</v>
      </c>
      <c r="I4495" s="1">
        <v>5.2499999999999998E-2</v>
      </c>
      <c r="J4495" s="1">
        <v>0.95009999999999994</v>
      </c>
    </row>
    <row r="4496" spans="1:10" x14ac:dyDescent="0.2">
      <c r="A4496" t="str">
        <f>"06/11/2006"</f>
        <v>06/11/2006</v>
      </c>
      <c r="B4496">
        <v>1</v>
      </c>
      <c r="C4496">
        <v>7500</v>
      </c>
      <c r="D4496">
        <v>8930</v>
      </c>
      <c r="E4496">
        <v>7500</v>
      </c>
      <c r="F4496">
        <v>7500</v>
      </c>
      <c r="G4496" s="1">
        <v>5.2499999999999998E-2</v>
      </c>
      <c r="H4496" s="1">
        <v>5.2499999999999998E-2</v>
      </c>
      <c r="I4496" s="1">
        <v>5.2499999999999998E-2</v>
      </c>
      <c r="J4496" s="1">
        <v>0.8256</v>
      </c>
    </row>
    <row r="4497" spans="1:10" x14ac:dyDescent="0.2">
      <c r="A4497" t="str">
        <f>"05/11/2006"</f>
        <v>05/11/2006</v>
      </c>
      <c r="B4497">
        <v>1</v>
      </c>
      <c r="C4497">
        <v>6000</v>
      </c>
      <c r="D4497">
        <v>7040</v>
      </c>
      <c r="E4497">
        <v>6000</v>
      </c>
      <c r="F4497">
        <v>6000</v>
      </c>
      <c r="G4497" s="1">
        <v>5.2499999999999998E-2</v>
      </c>
      <c r="H4497" s="1">
        <v>5.2499999999999998E-2</v>
      </c>
      <c r="I4497" s="1">
        <v>5.2499999999999998E-2</v>
      </c>
      <c r="J4497" s="1">
        <v>0.8</v>
      </c>
    </row>
    <row r="4498" spans="1:10" x14ac:dyDescent="0.2">
      <c r="A4498" t="str">
        <f>"02/11/2006"</f>
        <v>02/11/2006</v>
      </c>
      <c r="B4498">
        <v>3</v>
      </c>
      <c r="C4498">
        <v>5500</v>
      </c>
      <c r="D4498">
        <v>4235</v>
      </c>
      <c r="E4498">
        <v>4235</v>
      </c>
      <c r="F4498">
        <v>4235</v>
      </c>
      <c r="G4498" s="1">
        <v>5.2499999999999998E-2</v>
      </c>
      <c r="H4498" s="1">
        <v>5.2499999999999998E-2</v>
      </c>
      <c r="I4498" s="1">
        <v>5.2499999999999998E-2</v>
      </c>
      <c r="J4498" s="1">
        <v>1</v>
      </c>
    </row>
    <row r="4499" spans="1:10" x14ac:dyDescent="0.2">
      <c r="A4499" t="str">
        <f>"01/11/2006"</f>
        <v>01/11/2006</v>
      </c>
      <c r="B4499">
        <v>1</v>
      </c>
      <c r="C4499">
        <v>5500</v>
      </c>
      <c r="D4499">
        <v>3100</v>
      </c>
      <c r="E4499">
        <v>3100</v>
      </c>
      <c r="F4499">
        <v>3100</v>
      </c>
      <c r="G4499" s="1">
        <v>5.2499999999999998E-2</v>
      </c>
      <c r="H4499" s="1">
        <v>5.2499999999999998E-2</v>
      </c>
      <c r="I4499" s="1">
        <v>5.2499999999999998E-2</v>
      </c>
      <c r="J4499" s="1">
        <v>1</v>
      </c>
    </row>
    <row r="4500" spans="1:10" x14ac:dyDescent="0.2">
      <c r="A4500" t="str">
        <f>"17/10/2006"</f>
        <v>17/10/2006</v>
      </c>
      <c r="B4500">
        <v>1</v>
      </c>
      <c r="C4500">
        <v>2500</v>
      </c>
      <c r="D4500">
        <v>800</v>
      </c>
      <c r="E4500">
        <v>800</v>
      </c>
      <c r="F4500">
        <v>800</v>
      </c>
      <c r="G4500" s="1">
        <v>5.5E-2</v>
      </c>
      <c r="H4500" s="1">
        <v>5.5E-2</v>
      </c>
      <c r="I4500" s="1">
        <v>5.5E-2</v>
      </c>
      <c r="J4500" s="1">
        <v>1</v>
      </c>
    </row>
    <row r="4501" spans="1:10" x14ac:dyDescent="0.2">
      <c r="A4501" t="str">
        <f>"16/10/2006"</f>
        <v>16/10/2006</v>
      </c>
      <c r="B4501">
        <v>1</v>
      </c>
      <c r="C4501">
        <v>3000</v>
      </c>
      <c r="D4501">
        <v>3500</v>
      </c>
      <c r="E4501">
        <v>3000</v>
      </c>
      <c r="F4501">
        <v>3000</v>
      </c>
      <c r="G4501" s="1">
        <v>5.5E-2</v>
      </c>
      <c r="H4501" s="1">
        <v>5.5E-2</v>
      </c>
      <c r="I4501" s="1">
        <v>5.5E-2</v>
      </c>
      <c r="J4501" s="1">
        <v>0.85289999999999999</v>
      </c>
    </row>
    <row r="4502" spans="1:10" x14ac:dyDescent="0.2">
      <c r="A4502" t="str">
        <f>"15/10/2006"</f>
        <v>15/10/2006</v>
      </c>
      <c r="B4502">
        <v>1</v>
      </c>
      <c r="C4502">
        <v>4500</v>
      </c>
      <c r="D4502">
        <v>1590</v>
      </c>
      <c r="E4502">
        <v>1590</v>
      </c>
      <c r="F4502">
        <v>1590</v>
      </c>
      <c r="G4502" s="1">
        <v>5.5E-2</v>
      </c>
      <c r="H4502" s="1">
        <v>5.5E-2</v>
      </c>
      <c r="I4502" s="1">
        <v>5.5E-2</v>
      </c>
      <c r="J4502" s="1">
        <v>1</v>
      </c>
    </row>
    <row r="4503" spans="1:10" x14ac:dyDescent="0.2">
      <c r="A4503" t="str">
        <f>"12/10/2006"</f>
        <v>12/10/2006</v>
      </c>
      <c r="B4503">
        <v>3</v>
      </c>
      <c r="C4503">
        <v>4000</v>
      </c>
      <c r="D4503">
        <v>3440</v>
      </c>
      <c r="E4503">
        <v>3440</v>
      </c>
      <c r="F4503">
        <v>3440</v>
      </c>
      <c r="G4503" s="1">
        <v>5.5E-2</v>
      </c>
      <c r="H4503" s="1">
        <v>5.5E-2</v>
      </c>
      <c r="I4503" s="1">
        <v>5.5E-2</v>
      </c>
      <c r="J4503" s="1">
        <v>1</v>
      </c>
    </row>
    <row r="4504" spans="1:10" x14ac:dyDescent="0.2">
      <c r="A4504" t="str">
        <f>"11/10/2006"</f>
        <v>11/10/2006</v>
      </c>
      <c r="B4504">
        <v>1</v>
      </c>
      <c r="C4504">
        <v>3500</v>
      </c>
      <c r="D4504">
        <v>1340</v>
      </c>
      <c r="E4504">
        <v>1340</v>
      </c>
      <c r="F4504">
        <v>1340</v>
      </c>
      <c r="G4504" s="1">
        <v>5.5E-2</v>
      </c>
      <c r="H4504" s="1">
        <v>5.5E-2</v>
      </c>
      <c r="I4504" s="1">
        <v>5.5E-2</v>
      </c>
      <c r="J4504" s="1">
        <v>1</v>
      </c>
    </row>
    <row r="4505" spans="1:10" x14ac:dyDescent="0.2">
      <c r="A4505" t="str">
        <f>"10/10/2006"</f>
        <v>10/10/2006</v>
      </c>
      <c r="B4505">
        <v>1</v>
      </c>
      <c r="C4505">
        <v>3500</v>
      </c>
      <c r="D4505">
        <v>1375</v>
      </c>
      <c r="E4505">
        <v>1375</v>
      </c>
      <c r="F4505">
        <v>1375</v>
      </c>
      <c r="G4505" s="1">
        <v>5.5E-2</v>
      </c>
      <c r="H4505" s="1">
        <v>5.5E-2</v>
      </c>
      <c r="I4505" s="1">
        <v>5.5E-2</v>
      </c>
      <c r="J4505" s="1">
        <v>1</v>
      </c>
    </row>
    <row r="4506" spans="1:10" x14ac:dyDescent="0.2">
      <c r="A4506" t="str">
        <f>"09/10/2006"</f>
        <v>09/10/2006</v>
      </c>
      <c r="B4506">
        <v>1</v>
      </c>
      <c r="C4506">
        <v>3000</v>
      </c>
      <c r="D4506">
        <v>1905</v>
      </c>
      <c r="E4506">
        <v>1905</v>
      </c>
      <c r="F4506">
        <v>1905</v>
      </c>
      <c r="G4506" s="1">
        <v>5.5E-2</v>
      </c>
      <c r="H4506" s="1">
        <v>5.5E-2</v>
      </c>
      <c r="I4506" s="1">
        <v>5.5E-2</v>
      </c>
      <c r="J4506" s="1">
        <v>1</v>
      </c>
    </row>
    <row r="4507" spans="1:10" x14ac:dyDescent="0.2">
      <c r="A4507" t="str">
        <f>"08/10/2006"</f>
        <v>08/10/2006</v>
      </c>
      <c r="B4507">
        <v>1</v>
      </c>
      <c r="C4507">
        <v>3000</v>
      </c>
      <c r="D4507">
        <v>1370</v>
      </c>
      <c r="E4507">
        <v>1370</v>
      </c>
      <c r="F4507">
        <v>1370</v>
      </c>
      <c r="G4507" s="1">
        <v>5.5E-2</v>
      </c>
      <c r="H4507" s="1">
        <v>5.5E-2</v>
      </c>
      <c r="I4507" s="1">
        <v>5.5E-2</v>
      </c>
      <c r="J4507" s="1">
        <v>1</v>
      </c>
    </row>
    <row r="4508" spans="1:10" x14ac:dyDescent="0.2">
      <c r="A4508" t="str">
        <f>"05/10/2006"</f>
        <v>05/10/2006</v>
      </c>
      <c r="B4508">
        <v>3</v>
      </c>
      <c r="C4508">
        <v>2000</v>
      </c>
      <c r="D4508">
        <v>2760</v>
      </c>
      <c r="E4508">
        <v>2000</v>
      </c>
      <c r="F4508">
        <v>2000</v>
      </c>
      <c r="G4508" s="1">
        <v>5.5E-2</v>
      </c>
      <c r="H4508" s="1">
        <v>5.5E-2</v>
      </c>
      <c r="I4508" s="1">
        <v>5.5E-2</v>
      </c>
      <c r="J4508" s="1">
        <v>0.5847</v>
      </c>
    </row>
    <row r="4509" spans="1:10" x14ac:dyDescent="0.2">
      <c r="A4509" t="str">
        <f>"04/10/2006"</f>
        <v>04/10/2006</v>
      </c>
      <c r="B4509">
        <v>1</v>
      </c>
      <c r="C4509">
        <v>2000</v>
      </c>
      <c r="D4509">
        <v>3285</v>
      </c>
      <c r="E4509">
        <v>2000</v>
      </c>
      <c r="F4509">
        <v>2000</v>
      </c>
      <c r="G4509" s="1">
        <v>5.5E-2</v>
      </c>
      <c r="H4509" s="1">
        <v>5.4899999999999997E-2</v>
      </c>
      <c r="I4509" s="1">
        <v>5.4899999999999997E-2</v>
      </c>
      <c r="J4509" s="1">
        <v>0.28010000000000002</v>
      </c>
    </row>
    <row r="4510" spans="1:10" x14ac:dyDescent="0.2">
      <c r="A4510" t="str">
        <f>"03/10/2006"</f>
        <v>03/10/2006</v>
      </c>
      <c r="B4510">
        <v>1</v>
      </c>
      <c r="C4510">
        <v>2500</v>
      </c>
      <c r="D4510">
        <v>785</v>
      </c>
      <c r="E4510">
        <v>785</v>
      </c>
      <c r="F4510">
        <v>785</v>
      </c>
      <c r="G4510" s="1">
        <v>5.5E-2</v>
      </c>
      <c r="H4510" s="1">
        <v>5.5E-2</v>
      </c>
      <c r="I4510" s="1">
        <v>5.5E-2</v>
      </c>
      <c r="J4510" s="1">
        <v>1</v>
      </c>
    </row>
    <row r="4511" spans="1:10" x14ac:dyDescent="0.2">
      <c r="A4511" t="str">
        <f>"14/09/2006"</f>
        <v>14/09/2006</v>
      </c>
      <c r="B4511">
        <v>1</v>
      </c>
      <c r="C4511">
        <v>3500</v>
      </c>
      <c r="D4511">
        <v>4530</v>
      </c>
      <c r="E4511">
        <v>3500</v>
      </c>
      <c r="F4511">
        <v>3500</v>
      </c>
      <c r="G4511" s="1">
        <v>5.5E-2</v>
      </c>
      <c r="H4511" s="1">
        <v>5.5E-2</v>
      </c>
      <c r="I4511" s="1">
        <v>5.5E-2</v>
      </c>
      <c r="J4511" s="1">
        <v>0.77259999999999995</v>
      </c>
    </row>
    <row r="4512" spans="1:10" x14ac:dyDescent="0.2">
      <c r="A4512" t="str">
        <f>"13/09/2006"</f>
        <v>13/09/2006</v>
      </c>
      <c r="B4512">
        <v>1</v>
      </c>
      <c r="C4512">
        <v>4000</v>
      </c>
      <c r="D4512">
        <v>5740</v>
      </c>
      <c r="E4512">
        <v>4000</v>
      </c>
      <c r="F4512">
        <v>4000</v>
      </c>
      <c r="G4512" s="1">
        <v>5.5E-2</v>
      </c>
      <c r="H4512" s="1">
        <v>5.5E-2</v>
      </c>
      <c r="I4512" s="1">
        <v>5.5E-2</v>
      </c>
      <c r="J4512" s="1">
        <v>0.6915</v>
      </c>
    </row>
    <row r="4513" spans="1:10" x14ac:dyDescent="0.2">
      <c r="A4513" t="str">
        <f>"12/09/2006"</f>
        <v>12/09/2006</v>
      </c>
      <c r="B4513">
        <v>1</v>
      </c>
      <c r="C4513">
        <v>4500</v>
      </c>
      <c r="D4513">
        <v>3695</v>
      </c>
      <c r="E4513">
        <v>3695</v>
      </c>
      <c r="F4513">
        <v>3695</v>
      </c>
      <c r="G4513" s="1">
        <v>5.5E-2</v>
      </c>
      <c r="H4513" s="1">
        <v>5.5E-2</v>
      </c>
      <c r="I4513" s="1">
        <v>5.5E-2</v>
      </c>
      <c r="J4513" s="1">
        <v>1</v>
      </c>
    </row>
    <row r="4514" spans="1:10" x14ac:dyDescent="0.2">
      <c r="A4514" t="str">
        <f>"11/09/2006"</f>
        <v>11/09/2006</v>
      </c>
      <c r="B4514">
        <v>1</v>
      </c>
      <c r="C4514">
        <v>5000</v>
      </c>
      <c r="D4514">
        <v>4925</v>
      </c>
      <c r="E4514">
        <v>4925</v>
      </c>
      <c r="F4514">
        <v>4925</v>
      </c>
      <c r="G4514" s="1">
        <v>5.5E-2</v>
      </c>
      <c r="H4514" s="1">
        <v>5.5E-2</v>
      </c>
      <c r="I4514" s="1">
        <v>5.5E-2</v>
      </c>
      <c r="J4514" s="1">
        <v>1</v>
      </c>
    </row>
    <row r="4515" spans="1:10" x14ac:dyDescent="0.2">
      <c r="A4515" t="str">
        <f>"10/09/2006"</f>
        <v>10/09/2006</v>
      </c>
      <c r="B4515">
        <v>1</v>
      </c>
      <c r="C4515">
        <v>5000</v>
      </c>
      <c r="D4515">
        <v>5103</v>
      </c>
      <c r="E4515">
        <v>5000</v>
      </c>
      <c r="F4515">
        <v>5000</v>
      </c>
      <c r="G4515" s="1">
        <v>5.5E-2</v>
      </c>
      <c r="H4515" s="1">
        <v>5.5E-2</v>
      </c>
      <c r="I4515" s="1">
        <v>5.5E-2</v>
      </c>
      <c r="J4515" s="1">
        <v>0.97660000000000002</v>
      </c>
    </row>
    <row r="4516" spans="1:10" x14ac:dyDescent="0.2">
      <c r="A4516" t="str">
        <f>"07/09/2006"</f>
        <v>07/09/2006</v>
      </c>
      <c r="B4516">
        <v>3</v>
      </c>
      <c r="C4516">
        <v>4500</v>
      </c>
      <c r="D4516">
        <v>4865</v>
      </c>
      <c r="E4516">
        <v>4500</v>
      </c>
      <c r="F4516">
        <v>4500</v>
      </c>
      <c r="G4516" s="1">
        <v>5.5E-2</v>
      </c>
      <c r="H4516" s="1">
        <v>5.5E-2</v>
      </c>
      <c r="I4516" s="1">
        <v>5.5E-2</v>
      </c>
      <c r="J4516" s="1">
        <v>0.92049999999999998</v>
      </c>
    </row>
    <row r="4517" spans="1:10" x14ac:dyDescent="0.2">
      <c r="A4517" t="str">
        <f>"06/09/2006"</f>
        <v>06/09/2006</v>
      </c>
      <c r="B4517">
        <v>1</v>
      </c>
      <c r="C4517">
        <v>4500</v>
      </c>
      <c r="D4517">
        <v>3705</v>
      </c>
      <c r="E4517">
        <v>3705</v>
      </c>
      <c r="F4517">
        <v>3705</v>
      </c>
      <c r="G4517" s="1">
        <v>5.5E-2</v>
      </c>
      <c r="H4517" s="1">
        <v>5.5E-2</v>
      </c>
      <c r="I4517" s="1">
        <v>5.5E-2</v>
      </c>
      <c r="J4517" s="1">
        <v>1</v>
      </c>
    </row>
    <row r="4518" spans="1:10" x14ac:dyDescent="0.2">
      <c r="A4518" t="str">
        <f>"05/09/2006"</f>
        <v>05/09/2006</v>
      </c>
      <c r="B4518">
        <v>1</v>
      </c>
      <c r="C4518">
        <v>3500</v>
      </c>
      <c r="D4518">
        <v>2680</v>
      </c>
      <c r="E4518">
        <v>2680</v>
      </c>
      <c r="F4518">
        <v>2680</v>
      </c>
      <c r="G4518" s="1">
        <v>5.5E-2</v>
      </c>
      <c r="H4518" s="1">
        <v>5.5E-2</v>
      </c>
      <c r="I4518" s="1">
        <v>5.5E-2</v>
      </c>
      <c r="J4518" s="1">
        <v>1</v>
      </c>
    </row>
    <row r="4519" spans="1:10" x14ac:dyDescent="0.2">
      <c r="A4519" t="str">
        <f>"04/09/2006"</f>
        <v>04/09/2006</v>
      </c>
      <c r="B4519">
        <v>1</v>
      </c>
      <c r="C4519">
        <v>3000</v>
      </c>
      <c r="D4519">
        <v>2195</v>
      </c>
      <c r="E4519">
        <v>2195</v>
      </c>
      <c r="F4519">
        <v>2195</v>
      </c>
      <c r="G4519" s="1">
        <v>5.5E-2</v>
      </c>
      <c r="H4519" s="1">
        <v>5.5E-2</v>
      </c>
      <c r="I4519" s="1">
        <v>5.5E-2</v>
      </c>
      <c r="J4519" s="1">
        <v>1</v>
      </c>
    </row>
    <row r="4520" spans="1:10" x14ac:dyDescent="0.2">
      <c r="A4520" t="str">
        <f>"03/09/2006"</f>
        <v>03/09/2006</v>
      </c>
      <c r="B4520">
        <v>1</v>
      </c>
      <c r="C4520">
        <v>3000</v>
      </c>
      <c r="D4520">
        <v>1940</v>
      </c>
      <c r="E4520">
        <v>1940</v>
      </c>
      <c r="F4520">
        <v>1940</v>
      </c>
      <c r="G4520" s="1">
        <v>5.5E-2</v>
      </c>
      <c r="H4520" s="1">
        <v>5.5E-2</v>
      </c>
      <c r="I4520" s="1">
        <v>5.5E-2</v>
      </c>
      <c r="J4520" s="1">
        <v>1</v>
      </c>
    </row>
    <row r="4521" spans="1:10" x14ac:dyDescent="0.2">
      <c r="A4521" t="str">
        <f>"01/09/2006"</f>
        <v>01/09/2006</v>
      </c>
      <c r="B4521">
        <v>2</v>
      </c>
      <c r="C4521">
        <v>3000</v>
      </c>
      <c r="D4521">
        <v>650</v>
      </c>
      <c r="E4521">
        <v>650</v>
      </c>
      <c r="F4521">
        <v>650</v>
      </c>
      <c r="G4521" s="1">
        <v>5.5E-2</v>
      </c>
      <c r="H4521" s="1">
        <v>5.5E-2</v>
      </c>
      <c r="I4521" s="1">
        <v>5.5E-2</v>
      </c>
      <c r="J4521" s="1">
        <v>1</v>
      </c>
    </row>
    <row r="4522" spans="1:10" x14ac:dyDescent="0.2">
      <c r="A4522" t="str">
        <f>"14/08/2006"</f>
        <v>14/08/2006</v>
      </c>
      <c r="B4522">
        <v>1</v>
      </c>
      <c r="C4522">
        <v>3500</v>
      </c>
      <c r="D4522">
        <v>2274</v>
      </c>
      <c r="E4522">
        <v>2274</v>
      </c>
      <c r="F4522">
        <v>2274</v>
      </c>
      <c r="G4522" s="1">
        <v>5.5E-2</v>
      </c>
      <c r="H4522" s="1">
        <v>5.5E-2</v>
      </c>
      <c r="I4522" s="1">
        <v>5.5E-2</v>
      </c>
      <c r="J4522" s="1">
        <v>1</v>
      </c>
    </row>
    <row r="4523" spans="1:10" x14ac:dyDescent="0.2">
      <c r="A4523" t="str">
        <f>"13/08/2006"</f>
        <v>13/08/2006</v>
      </c>
      <c r="B4523">
        <v>1</v>
      </c>
      <c r="C4523">
        <v>3500</v>
      </c>
      <c r="D4523">
        <v>2645</v>
      </c>
      <c r="E4523">
        <v>2645</v>
      </c>
      <c r="F4523">
        <v>2645</v>
      </c>
      <c r="G4523" s="1">
        <v>5.5E-2</v>
      </c>
      <c r="H4523" s="1">
        <v>5.5E-2</v>
      </c>
      <c r="I4523" s="1">
        <v>5.5E-2</v>
      </c>
      <c r="J4523" s="1">
        <v>1</v>
      </c>
    </row>
    <row r="4524" spans="1:10" x14ac:dyDescent="0.2">
      <c r="A4524" t="str">
        <f>"10/08/2006"</f>
        <v>10/08/2006</v>
      </c>
      <c r="B4524">
        <v>3</v>
      </c>
      <c r="C4524">
        <v>3500</v>
      </c>
      <c r="D4524">
        <v>3880</v>
      </c>
      <c r="E4524">
        <v>3500</v>
      </c>
      <c r="F4524">
        <v>3500</v>
      </c>
      <c r="G4524" s="1">
        <v>5.5E-2</v>
      </c>
      <c r="H4524" s="1">
        <v>5.5E-2</v>
      </c>
      <c r="I4524" s="1">
        <v>5.5E-2</v>
      </c>
      <c r="J4524" s="1">
        <v>0.88239999999999996</v>
      </c>
    </row>
    <row r="4525" spans="1:10" x14ac:dyDescent="0.2">
      <c r="A4525" t="str">
        <f>"09/08/2006"</f>
        <v>09/08/2006</v>
      </c>
      <c r="B4525">
        <v>1</v>
      </c>
      <c r="C4525">
        <v>3500</v>
      </c>
      <c r="D4525">
        <v>3495</v>
      </c>
      <c r="E4525">
        <v>3495</v>
      </c>
      <c r="F4525">
        <v>3495</v>
      </c>
      <c r="G4525" s="1">
        <v>5.5E-2</v>
      </c>
      <c r="H4525" s="1">
        <v>5.5E-2</v>
      </c>
      <c r="I4525" s="1">
        <v>5.5E-2</v>
      </c>
      <c r="J4525" s="1">
        <v>1</v>
      </c>
    </row>
    <row r="4526" spans="1:10" x14ac:dyDescent="0.2">
      <c r="A4526" t="str">
        <f>"08/08/2006"</f>
        <v>08/08/2006</v>
      </c>
      <c r="B4526">
        <v>1</v>
      </c>
      <c r="C4526">
        <v>3000</v>
      </c>
      <c r="D4526">
        <v>2135</v>
      </c>
      <c r="E4526">
        <v>2135</v>
      </c>
      <c r="F4526">
        <v>2135</v>
      </c>
      <c r="G4526" s="1">
        <v>5.5E-2</v>
      </c>
      <c r="H4526" s="1">
        <v>5.5E-2</v>
      </c>
      <c r="I4526" s="1">
        <v>5.5E-2</v>
      </c>
      <c r="J4526" s="1">
        <v>1</v>
      </c>
    </row>
    <row r="4527" spans="1:10" x14ac:dyDescent="0.2">
      <c r="A4527" t="str">
        <f>"07/08/2006"</f>
        <v>07/08/2006</v>
      </c>
      <c r="B4527">
        <v>1</v>
      </c>
      <c r="C4527">
        <v>6500</v>
      </c>
      <c r="D4527">
        <v>3895</v>
      </c>
      <c r="E4527">
        <v>3895</v>
      </c>
      <c r="F4527">
        <v>3895</v>
      </c>
      <c r="G4527" s="1">
        <v>5.5E-2</v>
      </c>
      <c r="H4527" s="1">
        <v>5.5E-2</v>
      </c>
      <c r="I4527" s="1">
        <v>5.5E-2</v>
      </c>
      <c r="J4527" s="1">
        <v>1</v>
      </c>
    </row>
    <row r="4528" spans="1:10" x14ac:dyDescent="0.2">
      <c r="A4528" t="str">
        <f>"06/08/2006"</f>
        <v>06/08/2006</v>
      </c>
      <c r="B4528">
        <v>1</v>
      </c>
      <c r="C4528">
        <v>6500</v>
      </c>
      <c r="D4528">
        <v>6820</v>
      </c>
      <c r="E4528">
        <v>6500</v>
      </c>
      <c r="F4528">
        <v>6500</v>
      </c>
      <c r="G4528" s="1">
        <v>5.5E-2</v>
      </c>
      <c r="H4528" s="1">
        <v>5.5E-2</v>
      </c>
      <c r="I4528" s="1">
        <v>5.5E-2</v>
      </c>
      <c r="J4528" s="1">
        <v>0.94720000000000004</v>
      </c>
    </row>
    <row r="4529" spans="1:10" x14ac:dyDescent="0.2">
      <c r="A4529" t="str">
        <f>"02/08/2006"</f>
        <v>02/08/2006</v>
      </c>
      <c r="B4529">
        <v>4</v>
      </c>
      <c r="C4529">
        <v>5000</v>
      </c>
      <c r="D4529">
        <v>3044</v>
      </c>
      <c r="E4529">
        <v>3044</v>
      </c>
      <c r="F4529">
        <v>3044</v>
      </c>
      <c r="G4529" s="1">
        <v>5.5E-2</v>
      </c>
      <c r="H4529" s="1">
        <v>5.5E-2</v>
      </c>
      <c r="I4529" s="1">
        <v>5.5E-2</v>
      </c>
      <c r="J4529" s="1">
        <v>1</v>
      </c>
    </row>
    <row r="4530" spans="1:10" x14ac:dyDescent="0.2">
      <c r="A4530" t="str">
        <f>"01/08/2006"</f>
        <v>01/08/2006</v>
      </c>
      <c r="B4530">
        <v>1</v>
      </c>
      <c r="C4530">
        <v>3500</v>
      </c>
      <c r="D4530">
        <v>1940</v>
      </c>
      <c r="E4530">
        <v>1940</v>
      </c>
      <c r="F4530">
        <v>1940</v>
      </c>
      <c r="G4530" s="1">
        <v>5.5E-2</v>
      </c>
      <c r="H4530" s="1">
        <v>5.5E-2</v>
      </c>
      <c r="I4530" s="1">
        <v>5.5E-2</v>
      </c>
      <c r="J4530" s="1">
        <v>1</v>
      </c>
    </row>
    <row r="4531" spans="1:10" x14ac:dyDescent="0.2">
      <c r="A4531" t="str">
        <f>"13/07/2006"</f>
        <v>13/07/2006</v>
      </c>
      <c r="B4531">
        <v>3</v>
      </c>
      <c r="C4531">
        <v>8000</v>
      </c>
      <c r="D4531">
        <v>6780</v>
      </c>
      <c r="E4531">
        <v>6780</v>
      </c>
      <c r="F4531">
        <v>6780</v>
      </c>
      <c r="G4531" s="1">
        <v>5.2499999999999998E-2</v>
      </c>
      <c r="H4531" s="1">
        <v>5.2499999999999998E-2</v>
      </c>
      <c r="I4531" s="1">
        <v>5.2499999999999998E-2</v>
      </c>
      <c r="J4531" s="1">
        <v>1</v>
      </c>
    </row>
    <row r="4532" spans="1:10" x14ac:dyDescent="0.2">
      <c r="A4532" t="str">
        <f>"12/07/2006"</f>
        <v>12/07/2006</v>
      </c>
      <c r="B4532">
        <v>1</v>
      </c>
      <c r="C4532">
        <v>8000</v>
      </c>
      <c r="D4532">
        <v>7777</v>
      </c>
      <c r="E4532">
        <v>7777</v>
      </c>
      <c r="F4532">
        <v>7777</v>
      </c>
      <c r="G4532" s="1">
        <v>5.2499999999999998E-2</v>
      </c>
      <c r="H4532" s="1">
        <v>5.2499999999999998E-2</v>
      </c>
      <c r="I4532" s="1">
        <v>5.2499999999999998E-2</v>
      </c>
      <c r="J4532" s="1">
        <v>1</v>
      </c>
    </row>
    <row r="4533" spans="1:10" x14ac:dyDescent="0.2">
      <c r="A4533" t="str">
        <f>"11/07/2006"</f>
        <v>11/07/2006</v>
      </c>
      <c r="B4533">
        <v>1</v>
      </c>
      <c r="C4533">
        <v>8000</v>
      </c>
      <c r="D4533">
        <v>7113</v>
      </c>
      <c r="E4533">
        <v>7113</v>
      </c>
      <c r="F4533">
        <v>7113</v>
      </c>
      <c r="G4533" s="1">
        <v>5.2499999999999998E-2</v>
      </c>
      <c r="H4533" s="1">
        <v>5.2499999999999998E-2</v>
      </c>
      <c r="I4533" s="1">
        <v>5.2499999999999998E-2</v>
      </c>
      <c r="J4533" s="1">
        <v>1</v>
      </c>
    </row>
    <row r="4534" spans="1:10" x14ac:dyDescent="0.2">
      <c r="A4534" t="str">
        <f>"10/07/2006"</f>
        <v>10/07/2006</v>
      </c>
      <c r="B4534">
        <v>1</v>
      </c>
      <c r="C4534">
        <v>7500</v>
      </c>
      <c r="D4534">
        <v>7543</v>
      </c>
      <c r="E4534">
        <v>7500</v>
      </c>
      <c r="F4534">
        <v>7500</v>
      </c>
      <c r="G4534" s="1">
        <v>5.2499999999999998E-2</v>
      </c>
      <c r="H4534" s="1">
        <v>5.2499999999999998E-2</v>
      </c>
      <c r="I4534" s="1">
        <v>5.2499999999999998E-2</v>
      </c>
      <c r="J4534" s="1">
        <v>0.99360000000000004</v>
      </c>
    </row>
    <row r="4535" spans="1:10" x14ac:dyDescent="0.2">
      <c r="A4535" t="str">
        <f>"09/07/2006"</f>
        <v>09/07/2006</v>
      </c>
      <c r="B4535">
        <v>1</v>
      </c>
      <c r="C4535">
        <v>8000</v>
      </c>
      <c r="D4535">
        <v>6949</v>
      </c>
      <c r="E4535">
        <v>6949</v>
      </c>
      <c r="F4535">
        <v>6949</v>
      </c>
      <c r="G4535" s="1">
        <v>5.2499999999999998E-2</v>
      </c>
      <c r="H4535" s="1">
        <v>5.2499999999999998E-2</v>
      </c>
      <c r="I4535" s="1">
        <v>5.2499999999999998E-2</v>
      </c>
      <c r="J4535" s="1">
        <v>1</v>
      </c>
    </row>
    <row r="4536" spans="1:10" x14ac:dyDescent="0.2">
      <c r="A4536" t="str">
        <f>"06/07/2006"</f>
        <v>06/07/2006</v>
      </c>
      <c r="B4536">
        <v>3</v>
      </c>
      <c r="C4536">
        <v>7000</v>
      </c>
      <c r="D4536">
        <v>7700</v>
      </c>
      <c r="E4536">
        <v>7000</v>
      </c>
      <c r="F4536">
        <v>7000</v>
      </c>
      <c r="G4536" s="1">
        <v>5.2499999999999998E-2</v>
      </c>
      <c r="H4536" s="1">
        <v>5.2499999999999998E-2</v>
      </c>
      <c r="I4536" s="1">
        <v>5.2499999999999998E-2</v>
      </c>
      <c r="J4536" s="1">
        <v>0.89129999999999998</v>
      </c>
    </row>
    <row r="4537" spans="1:10" x14ac:dyDescent="0.2">
      <c r="A4537" t="str">
        <f>"05/07/2006"</f>
        <v>05/07/2006</v>
      </c>
      <c r="B4537">
        <v>1</v>
      </c>
      <c r="C4537">
        <v>7000</v>
      </c>
      <c r="D4537">
        <v>6675</v>
      </c>
      <c r="E4537">
        <v>6675</v>
      </c>
      <c r="F4537">
        <v>6675</v>
      </c>
      <c r="G4537" s="1">
        <v>5.2499999999999998E-2</v>
      </c>
      <c r="H4537" s="1">
        <v>5.2499999999999998E-2</v>
      </c>
      <c r="I4537" s="1">
        <v>5.2499999999999998E-2</v>
      </c>
      <c r="J4537" s="1">
        <v>1</v>
      </c>
    </row>
    <row r="4538" spans="1:10" x14ac:dyDescent="0.2">
      <c r="A4538" t="str">
        <f>"04/07/2006"</f>
        <v>04/07/2006</v>
      </c>
      <c r="B4538">
        <v>1</v>
      </c>
      <c r="C4538">
        <v>4500</v>
      </c>
      <c r="D4538">
        <v>4413</v>
      </c>
      <c r="E4538">
        <v>4413</v>
      </c>
      <c r="F4538">
        <v>4413</v>
      </c>
      <c r="G4538" s="1">
        <v>5.2499999999999998E-2</v>
      </c>
      <c r="H4538" s="1">
        <v>5.2499999999999998E-2</v>
      </c>
      <c r="I4538" s="1">
        <v>5.2499999999999998E-2</v>
      </c>
      <c r="J4538" s="1">
        <v>1</v>
      </c>
    </row>
    <row r="4539" spans="1:10" x14ac:dyDescent="0.2">
      <c r="A4539" t="str">
        <f>"03/07/2006"</f>
        <v>03/07/2006</v>
      </c>
      <c r="B4539">
        <v>1</v>
      </c>
      <c r="C4539">
        <v>4000</v>
      </c>
      <c r="D4539">
        <v>3420</v>
      </c>
      <c r="E4539">
        <v>3420</v>
      </c>
      <c r="F4539">
        <v>3420</v>
      </c>
      <c r="G4539" s="1">
        <v>5.2499999999999998E-2</v>
      </c>
      <c r="H4539" s="1">
        <v>5.2499999999999998E-2</v>
      </c>
      <c r="I4539" s="1">
        <v>5.2499999999999998E-2</v>
      </c>
      <c r="J4539" s="1">
        <v>1</v>
      </c>
    </row>
    <row r="4540" spans="1:10" x14ac:dyDescent="0.2">
      <c r="A4540" t="str">
        <f>"02/07/2006"</f>
        <v>02/07/2006</v>
      </c>
      <c r="B4540">
        <v>1</v>
      </c>
      <c r="C4540">
        <v>4000</v>
      </c>
      <c r="D4540">
        <v>2540</v>
      </c>
      <c r="E4540">
        <v>2540</v>
      </c>
      <c r="F4540">
        <v>2540</v>
      </c>
      <c r="G4540" s="1">
        <v>5.2499999999999998E-2</v>
      </c>
      <c r="H4540" s="1">
        <v>5.2499999999999998E-2</v>
      </c>
      <c r="I4540" s="1">
        <v>5.2499999999999998E-2</v>
      </c>
      <c r="J4540" s="1">
        <v>1</v>
      </c>
    </row>
    <row r="4541" spans="1:10" x14ac:dyDescent="0.2">
      <c r="A4541" t="str">
        <f>"14/06/2006"</f>
        <v>14/06/2006</v>
      </c>
      <c r="B4541">
        <v>1</v>
      </c>
      <c r="C4541">
        <v>5500</v>
      </c>
      <c r="D4541">
        <v>4785</v>
      </c>
      <c r="E4541">
        <v>4785</v>
      </c>
      <c r="F4541">
        <v>4785</v>
      </c>
      <c r="G4541" s="1">
        <v>5.2499999999999998E-2</v>
      </c>
      <c r="H4541" s="1">
        <v>5.2499999999999998E-2</v>
      </c>
      <c r="I4541" s="1">
        <v>5.2499999999999998E-2</v>
      </c>
      <c r="J4541" s="1">
        <v>1</v>
      </c>
    </row>
    <row r="4542" spans="1:10" x14ac:dyDescent="0.2">
      <c r="A4542" t="str">
        <f>"13/06/2006"</f>
        <v>13/06/2006</v>
      </c>
      <c r="B4542">
        <v>1</v>
      </c>
      <c r="C4542">
        <v>5500</v>
      </c>
      <c r="D4542">
        <v>3018</v>
      </c>
      <c r="E4542">
        <v>3018</v>
      </c>
      <c r="F4542">
        <v>3018</v>
      </c>
      <c r="G4542" s="1">
        <v>5.2499999999999998E-2</v>
      </c>
      <c r="H4542" s="1">
        <v>5.2499999999999998E-2</v>
      </c>
      <c r="I4542" s="1">
        <v>5.2499999999999998E-2</v>
      </c>
      <c r="J4542" s="1">
        <v>1</v>
      </c>
    </row>
    <row r="4543" spans="1:10" x14ac:dyDescent="0.2">
      <c r="A4543" t="str">
        <f>"12/06/2006"</f>
        <v>12/06/2006</v>
      </c>
      <c r="B4543">
        <v>1</v>
      </c>
      <c r="C4543">
        <v>5500</v>
      </c>
      <c r="D4543">
        <v>4710</v>
      </c>
      <c r="E4543">
        <v>4710</v>
      </c>
      <c r="F4543">
        <v>4710</v>
      </c>
      <c r="G4543" s="1">
        <v>5.2499999999999998E-2</v>
      </c>
      <c r="H4543" s="1">
        <v>5.2499999999999998E-2</v>
      </c>
      <c r="I4543" s="1">
        <v>5.2499999999999998E-2</v>
      </c>
      <c r="J4543" s="1">
        <v>1</v>
      </c>
    </row>
    <row r="4544" spans="1:10" x14ac:dyDescent="0.2">
      <c r="A4544" t="str">
        <f>"11/06/2006"</f>
        <v>11/06/2006</v>
      </c>
      <c r="B4544">
        <v>1</v>
      </c>
      <c r="C4544">
        <v>5500</v>
      </c>
      <c r="D4544">
        <v>5333</v>
      </c>
      <c r="E4544">
        <v>5333</v>
      </c>
      <c r="F4544">
        <v>5333</v>
      </c>
      <c r="G4544" s="1">
        <v>5.2499999999999998E-2</v>
      </c>
      <c r="H4544" s="1">
        <v>5.2499999999999998E-2</v>
      </c>
      <c r="I4544" s="1">
        <v>5.2499999999999998E-2</v>
      </c>
      <c r="J4544" s="1">
        <v>1</v>
      </c>
    </row>
    <row r="4545" spans="1:10" x14ac:dyDescent="0.2">
      <c r="A4545" t="str">
        <f>"08/06/2006"</f>
        <v>08/06/2006</v>
      </c>
      <c r="B4545">
        <v>3</v>
      </c>
      <c r="C4545">
        <v>5500</v>
      </c>
      <c r="D4545">
        <v>5225</v>
      </c>
      <c r="E4545">
        <v>5225</v>
      </c>
      <c r="F4545">
        <v>5225</v>
      </c>
      <c r="G4545" s="1">
        <v>5.2499999999999998E-2</v>
      </c>
      <c r="H4545" s="1">
        <v>5.2499999999999998E-2</v>
      </c>
      <c r="I4545" s="1">
        <v>5.2499999999999998E-2</v>
      </c>
      <c r="J4545" s="1">
        <v>1</v>
      </c>
    </row>
    <row r="4546" spans="1:10" x14ac:dyDescent="0.2">
      <c r="A4546" t="str">
        <f>"07/06/2006"</f>
        <v>07/06/2006</v>
      </c>
      <c r="B4546">
        <v>1</v>
      </c>
      <c r="C4546">
        <v>5500</v>
      </c>
      <c r="D4546">
        <v>4505</v>
      </c>
      <c r="E4546">
        <v>4505</v>
      </c>
      <c r="F4546">
        <v>4505</v>
      </c>
      <c r="G4546" s="1">
        <v>5.2499999999999998E-2</v>
      </c>
      <c r="H4546" s="1">
        <v>5.2499999999999998E-2</v>
      </c>
      <c r="I4546" s="1">
        <v>5.2499999999999998E-2</v>
      </c>
      <c r="J4546" s="1">
        <v>1</v>
      </c>
    </row>
    <row r="4547" spans="1:10" x14ac:dyDescent="0.2">
      <c r="A4547" t="str">
        <f>"06/06/2006"</f>
        <v>06/06/2006</v>
      </c>
      <c r="B4547">
        <v>1</v>
      </c>
      <c r="C4547">
        <v>4500</v>
      </c>
      <c r="D4547">
        <v>3980</v>
      </c>
      <c r="E4547">
        <v>3980</v>
      </c>
      <c r="F4547">
        <v>3980</v>
      </c>
      <c r="G4547" s="1">
        <v>5.2499999999999998E-2</v>
      </c>
      <c r="H4547" s="1">
        <v>5.2499999999999998E-2</v>
      </c>
      <c r="I4547" s="1">
        <v>5.2499999999999998E-2</v>
      </c>
      <c r="J4547" s="1">
        <v>1</v>
      </c>
    </row>
    <row r="4548" spans="1:10" x14ac:dyDescent="0.2">
      <c r="A4548" t="str">
        <f>"05/06/2006"</f>
        <v>05/06/2006</v>
      </c>
      <c r="B4548">
        <v>1</v>
      </c>
      <c r="C4548">
        <v>4000</v>
      </c>
      <c r="D4548">
        <v>3610</v>
      </c>
      <c r="E4548">
        <v>3610</v>
      </c>
      <c r="F4548">
        <v>3610</v>
      </c>
      <c r="G4548" s="1">
        <v>5.2499999999999998E-2</v>
      </c>
      <c r="H4548" s="1">
        <v>5.2499999999999998E-2</v>
      </c>
      <c r="I4548" s="1">
        <v>5.2499999999999998E-2</v>
      </c>
      <c r="J4548" s="1">
        <v>1</v>
      </c>
    </row>
    <row r="4549" spans="1:10" x14ac:dyDescent="0.2">
      <c r="A4549" t="str">
        <f>"04/06/2006"</f>
        <v>04/06/2006</v>
      </c>
      <c r="B4549">
        <v>1</v>
      </c>
      <c r="C4549">
        <v>4000</v>
      </c>
      <c r="D4549">
        <v>2805</v>
      </c>
      <c r="E4549">
        <v>2805</v>
      </c>
      <c r="F4549">
        <v>2805</v>
      </c>
      <c r="G4549" s="1">
        <v>5.2499999999999998E-2</v>
      </c>
      <c r="H4549" s="1">
        <v>5.2499999999999998E-2</v>
      </c>
      <c r="I4549" s="1">
        <v>5.2499999999999998E-2</v>
      </c>
      <c r="J4549" s="1">
        <v>1</v>
      </c>
    </row>
    <row r="4550" spans="1:10" x14ac:dyDescent="0.2">
      <c r="A4550" t="str">
        <f>"01/06/2006"</f>
        <v>01/06/2006</v>
      </c>
      <c r="B4550">
        <v>3</v>
      </c>
      <c r="C4550">
        <v>3500</v>
      </c>
      <c r="D4550">
        <v>2455</v>
      </c>
      <c r="E4550">
        <v>2455</v>
      </c>
      <c r="F4550">
        <v>2455</v>
      </c>
      <c r="G4550" s="1">
        <v>5.2499999999999998E-2</v>
      </c>
      <c r="H4550" s="1">
        <v>5.2499999999999998E-2</v>
      </c>
      <c r="I4550" s="1">
        <v>5.2499999999999998E-2</v>
      </c>
      <c r="J4550" s="1">
        <v>1</v>
      </c>
    </row>
    <row r="4551" spans="1:10" x14ac:dyDescent="0.2">
      <c r="A4551" t="str">
        <f>"14/05/2006"</f>
        <v>14/05/2006</v>
      </c>
      <c r="B4551">
        <v>1</v>
      </c>
      <c r="C4551">
        <v>8000</v>
      </c>
      <c r="D4551">
        <v>6128</v>
      </c>
      <c r="E4551">
        <v>6128</v>
      </c>
      <c r="F4551">
        <v>6128</v>
      </c>
      <c r="G4551" s="1">
        <v>5.2499999999999998E-2</v>
      </c>
      <c r="H4551" s="1">
        <v>5.2499999999999998E-2</v>
      </c>
      <c r="I4551" s="1">
        <v>5.2499999999999998E-2</v>
      </c>
      <c r="J4551" s="1">
        <v>1</v>
      </c>
    </row>
    <row r="4552" spans="1:10" x14ac:dyDescent="0.2">
      <c r="A4552" t="str">
        <f>"11/05/2006"</f>
        <v>11/05/2006</v>
      </c>
      <c r="B4552">
        <v>3</v>
      </c>
      <c r="C4552">
        <v>8000</v>
      </c>
      <c r="D4552">
        <v>6960</v>
      </c>
      <c r="E4552">
        <v>6960</v>
      </c>
      <c r="F4552">
        <v>6960</v>
      </c>
      <c r="G4552" s="1">
        <v>5.2499999999999998E-2</v>
      </c>
      <c r="H4552" s="1">
        <v>5.2499999999999998E-2</v>
      </c>
      <c r="I4552" s="1">
        <v>5.2499999999999998E-2</v>
      </c>
      <c r="J4552" s="1">
        <v>1</v>
      </c>
    </row>
    <row r="4553" spans="1:10" x14ac:dyDescent="0.2">
      <c r="A4553" t="str">
        <f>"10/05/2006"</f>
        <v>10/05/2006</v>
      </c>
      <c r="B4553">
        <v>1</v>
      </c>
      <c r="C4553">
        <v>3500</v>
      </c>
      <c r="D4553">
        <v>1400</v>
      </c>
      <c r="E4553">
        <v>1400</v>
      </c>
      <c r="F4553">
        <v>1400</v>
      </c>
      <c r="G4553" s="1">
        <v>5.2499999999999998E-2</v>
      </c>
      <c r="H4553" s="1">
        <v>5.2499999999999998E-2</v>
      </c>
      <c r="I4553" s="1">
        <v>5.2499999999999998E-2</v>
      </c>
      <c r="J4553" s="1">
        <v>1</v>
      </c>
    </row>
    <row r="4554" spans="1:10" x14ac:dyDescent="0.2">
      <c r="A4554" t="str">
        <f>"09/05/2006"</f>
        <v>09/05/2006</v>
      </c>
      <c r="B4554">
        <v>1</v>
      </c>
      <c r="C4554">
        <v>9000</v>
      </c>
      <c r="D4554">
        <v>6990</v>
      </c>
      <c r="E4554">
        <v>6990</v>
      </c>
      <c r="F4554">
        <v>6990</v>
      </c>
      <c r="G4554" s="1">
        <v>5.2499999999999998E-2</v>
      </c>
      <c r="H4554" s="1">
        <v>5.2499999999999998E-2</v>
      </c>
      <c r="I4554" s="1">
        <v>5.2499999999999998E-2</v>
      </c>
      <c r="J4554" s="1">
        <v>1</v>
      </c>
    </row>
    <row r="4555" spans="1:10" x14ac:dyDescent="0.2">
      <c r="A4555" t="str">
        <f>"08/05/2006"</f>
        <v>08/05/2006</v>
      </c>
      <c r="B4555">
        <v>1</v>
      </c>
      <c r="C4555">
        <v>9000</v>
      </c>
      <c r="D4555">
        <v>9805</v>
      </c>
      <c r="E4555">
        <v>9000</v>
      </c>
      <c r="F4555">
        <v>9000</v>
      </c>
      <c r="G4555" s="1">
        <v>5.2499999999999998E-2</v>
      </c>
      <c r="H4555" s="1">
        <v>5.2499999999999998E-2</v>
      </c>
      <c r="I4555" s="1">
        <v>5.2499999999999998E-2</v>
      </c>
      <c r="J4555" s="1">
        <v>0.88980000000000004</v>
      </c>
    </row>
    <row r="4556" spans="1:10" x14ac:dyDescent="0.2">
      <c r="A4556" t="str">
        <f>"07/05/2006"</f>
        <v>07/05/2006</v>
      </c>
      <c r="B4556">
        <v>1</v>
      </c>
      <c r="C4556">
        <v>8000</v>
      </c>
      <c r="D4556">
        <v>9070</v>
      </c>
      <c r="E4556">
        <v>8000</v>
      </c>
      <c r="F4556">
        <v>8000</v>
      </c>
      <c r="G4556" s="1">
        <v>5.2499999999999998E-2</v>
      </c>
      <c r="H4556" s="1">
        <v>5.2499999999999998E-2</v>
      </c>
      <c r="I4556" s="1">
        <v>5.2499999999999998E-2</v>
      </c>
      <c r="J4556" s="1">
        <v>0.83889999999999998</v>
      </c>
    </row>
    <row r="4557" spans="1:10" x14ac:dyDescent="0.2">
      <c r="A4557" t="str">
        <f>"04/05/2006"</f>
        <v>04/05/2006</v>
      </c>
      <c r="B4557">
        <v>3</v>
      </c>
      <c r="C4557">
        <v>8000</v>
      </c>
      <c r="D4557">
        <v>7075</v>
      </c>
      <c r="E4557">
        <v>7075</v>
      </c>
      <c r="F4557">
        <v>7075</v>
      </c>
      <c r="G4557" s="1">
        <v>5.2499999999999998E-2</v>
      </c>
      <c r="H4557" s="1">
        <v>5.2499999999999998E-2</v>
      </c>
      <c r="I4557" s="1">
        <v>5.2499999999999998E-2</v>
      </c>
      <c r="J4557" s="1">
        <v>1</v>
      </c>
    </row>
    <row r="4558" spans="1:10" x14ac:dyDescent="0.2">
      <c r="A4558" t="str">
        <f>"01/05/2006"</f>
        <v>01/05/2006</v>
      </c>
      <c r="B4558">
        <v>3</v>
      </c>
      <c r="C4558">
        <v>5500</v>
      </c>
      <c r="D4558">
        <v>4330</v>
      </c>
      <c r="E4558">
        <v>4330</v>
      </c>
      <c r="F4558">
        <v>4330</v>
      </c>
      <c r="G4558" s="1">
        <v>5.2499999999999998E-2</v>
      </c>
      <c r="H4558" s="1">
        <v>5.2499999999999998E-2</v>
      </c>
      <c r="I4558" s="1">
        <v>5.2499999999999998E-2</v>
      </c>
      <c r="J4558" s="1">
        <v>1</v>
      </c>
    </row>
    <row r="4559" spans="1:10" x14ac:dyDescent="0.2">
      <c r="A4559" t="str">
        <f>"26/04/2006"</f>
        <v>26/04/2006</v>
      </c>
      <c r="B4559">
        <v>1</v>
      </c>
      <c r="C4559">
        <v>2000</v>
      </c>
      <c r="G4559" t="s">
        <v>0</v>
      </c>
      <c r="H4559" t="s">
        <v>0</v>
      </c>
      <c r="I4559" t="s">
        <v>0</v>
      </c>
      <c r="J4559" t="s">
        <v>0</v>
      </c>
    </row>
    <row r="4560" spans="1:10" x14ac:dyDescent="0.2">
      <c r="A4560" t="str">
        <f>"23/04/2006"</f>
        <v>23/04/2006</v>
      </c>
      <c r="B4560">
        <v>1</v>
      </c>
      <c r="C4560">
        <v>3000</v>
      </c>
      <c r="D4560">
        <v>2360</v>
      </c>
      <c r="E4560">
        <v>2360</v>
      </c>
      <c r="F4560">
        <v>2360</v>
      </c>
      <c r="G4560" s="1">
        <v>0.05</v>
      </c>
      <c r="H4560" s="1">
        <v>0.05</v>
      </c>
      <c r="I4560" s="1">
        <v>0.05</v>
      </c>
      <c r="J4560" s="1">
        <v>1</v>
      </c>
    </row>
    <row r="4561" spans="1:10" x14ac:dyDescent="0.2">
      <c r="A4561" t="str">
        <f>"20/04/2006"</f>
        <v>20/04/2006</v>
      </c>
      <c r="B4561">
        <v>3</v>
      </c>
      <c r="C4561">
        <v>10500</v>
      </c>
      <c r="D4561">
        <v>11180</v>
      </c>
      <c r="E4561">
        <v>10500</v>
      </c>
      <c r="F4561">
        <v>10500</v>
      </c>
      <c r="G4561" s="1">
        <v>0.05</v>
      </c>
      <c r="H4561" s="1">
        <v>0.05</v>
      </c>
      <c r="I4561" s="1">
        <v>0.05</v>
      </c>
      <c r="J4561" s="1">
        <v>0.93179999999999996</v>
      </c>
    </row>
    <row r="4562" spans="1:10" x14ac:dyDescent="0.2">
      <c r="A4562" t="str">
        <f>"17/04/2006"</f>
        <v>17/04/2006</v>
      </c>
      <c r="B4562">
        <v>3</v>
      </c>
      <c r="C4562">
        <v>10500</v>
      </c>
      <c r="D4562">
        <v>8910</v>
      </c>
      <c r="E4562">
        <v>8910</v>
      </c>
      <c r="F4562">
        <v>8910</v>
      </c>
      <c r="G4562" s="1">
        <v>0.05</v>
      </c>
      <c r="H4562" s="1">
        <v>0.05</v>
      </c>
      <c r="I4562" s="1">
        <v>0.05</v>
      </c>
      <c r="J4562" s="1">
        <v>1</v>
      </c>
    </row>
    <row r="4563" spans="1:10" x14ac:dyDescent="0.2">
      <c r="A4563" t="str">
        <f>"16/04/2006"</f>
        <v>16/04/2006</v>
      </c>
      <c r="B4563">
        <v>1</v>
      </c>
      <c r="C4563">
        <v>10500</v>
      </c>
      <c r="D4563">
        <v>9225</v>
      </c>
      <c r="E4563">
        <v>9225</v>
      </c>
      <c r="F4563">
        <v>9225</v>
      </c>
      <c r="G4563" s="1">
        <v>0.05</v>
      </c>
      <c r="H4563" s="1">
        <v>0.05</v>
      </c>
      <c r="I4563" s="1">
        <v>0.05</v>
      </c>
      <c r="J4563" s="1">
        <v>1</v>
      </c>
    </row>
    <row r="4564" spans="1:10" x14ac:dyDescent="0.2">
      <c r="A4564" t="str">
        <f>"11/04/2006"</f>
        <v>11/04/2006</v>
      </c>
      <c r="B4564">
        <v>5</v>
      </c>
      <c r="C4564">
        <v>10000</v>
      </c>
      <c r="D4564">
        <v>8810</v>
      </c>
      <c r="E4564">
        <v>8810</v>
      </c>
      <c r="F4564">
        <v>8810</v>
      </c>
      <c r="G4564" s="1">
        <v>0.05</v>
      </c>
      <c r="H4564" s="1">
        <v>0.05</v>
      </c>
      <c r="I4564" s="1">
        <v>0.05</v>
      </c>
      <c r="J4564" s="1">
        <v>1</v>
      </c>
    </row>
    <row r="4565" spans="1:10" x14ac:dyDescent="0.2">
      <c r="A4565" t="str">
        <f>"10/04/2006"</f>
        <v>10/04/2006</v>
      </c>
      <c r="B4565">
        <v>1</v>
      </c>
      <c r="C4565">
        <v>10000</v>
      </c>
      <c r="D4565">
        <v>11761</v>
      </c>
      <c r="E4565">
        <v>10000</v>
      </c>
      <c r="F4565">
        <v>10000</v>
      </c>
      <c r="G4565" s="1">
        <v>0.05</v>
      </c>
      <c r="H4565" s="1">
        <v>0.05</v>
      </c>
      <c r="I4565" s="1">
        <v>0.05</v>
      </c>
      <c r="J4565" s="1">
        <v>0.83130000000000004</v>
      </c>
    </row>
    <row r="4566" spans="1:10" x14ac:dyDescent="0.2">
      <c r="A4566" t="str">
        <f>"09/04/2006"</f>
        <v>09/04/2006</v>
      </c>
      <c r="B4566">
        <v>1</v>
      </c>
      <c r="C4566">
        <v>9500</v>
      </c>
      <c r="D4566">
        <v>10010</v>
      </c>
      <c r="E4566">
        <v>9500</v>
      </c>
      <c r="F4566">
        <v>9500</v>
      </c>
      <c r="G4566" s="1">
        <v>0.05</v>
      </c>
      <c r="H4566" s="1">
        <v>0.05</v>
      </c>
      <c r="I4566" s="1">
        <v>0.05</v>
      </c>
      <c r="J4566" s="1">
        <v>0.93930000000000002</v>
      </c>
    </row>
    <row r="4567" spans="1:10" x14ac:dyDescent="0.2">
      <c r="A4567" t="str">
        <f>"06/04/2006"</f>
        <v>06/04/2006</v>
      </c>
      <c r="B4567">
        <v>3</v>
      </c>
      <c r="C4567">
        <v>9000</v>
      </c>
      <c r="D4567">
        <v>8027</v>
      </c>
      <c r="E4567">
        <v>8027</v>
      </c>
      <c r="F4567">
        <v>8027</v>
      </c>
      <c r="G4567" s="1">
        <v>0.05</v>
      </c>
      <c r="H4567" s="1">
        <v>0.05</v>
      </c>
      <c r="I4567" s="1">
        <v>0.05</v>
      </c>
      <c r="J4567" s="1">
        <v>1</v>
      </c>
    </row>
    <row r="4568" spans="1:10" x14ac:dyDescent="0.2">
      <c r="A4568" t="str">
        <f>"05/04/2006"</f>
        <v>05/04/2006</v>
      </c>
      <c r="B4568">
        <v>1</v>
      </c>
      <c r="C4568">
        <v>8000</v>
      </c>
      <c r="D4568">
        <v>6547</v>
      </c>
      <c r="E4568">
        <v>6547</v>
      </c>
      <c r="F4568">
        <v>6547</v>
      </c>
      <c r="G4568" s="1">
        <v>0.05</v>
      </c>
      <c r="H4568" s="1">
        <v>0.05</v>
      </c>
      <c r="I4568" s="1">
        <v>0.05</v>
      </c>
      <c r="J4568" s="1">
        <v>1</v>
      </c>
    </row>
    <row r="4569" spans="1:10" x14ac:dyDescent="0.2">
      <c r="A4569" t="str">
        <f>"04/04/2006"</f>
        <v>04/04/2006</v>
      </c>
      <c r="B4569">
        <v>1</v>
      </c>
      <c r="C4569">
        <v>7500</v>
      </c>
      <c r="D4569">
        <v>5399</v>
      </c>
      <c r="E4569">
        <v>5399</v>
      </c>
      <c r="F4569">
        <v>5399</v>
      </c>
      <c r="G4569" s="1">
        <v>0.05</v>
      </c>
      <c r="H4569" s="1">
        <v>0.05</v>
      </c>
      <c r="I4569" s="1">
        <v>0.05</v>
      </c>
      <c r="J4569" s="1">
        <v>1</v>
      </c>
    </row>
    <row r="4570" spans="1:10" x14ac:dyDescent="0.2">
      <c r="A4570" t="str">
        <f>"03/04/2006"</f>
        <v>03/04/2006</v>
      </c>
      <c r="B4570">
        <v>1</v>
      </c>
      <c r="C4570">
        <v>6000</v>
      </c>
      <c r="D4570">
        <v>5865</v>
      </c>
      <c r="E4570">
        <v>5865</v>
      </c>
      <c r="F4570">
        <v>5865</v>
      </c>
      <c r="G4570" s="1">
        <v>0.05</v>
      </c>
      <c r="H4570" s="1">
        <v>0.05</v>
      </c>
      <c r="I4570" s="1">
        <v>0.05</v>
      </c>
      <c r="J4570" s="1">
        <v>1</v>
      </c>
    </row>
    <row r="4571" spans="1:10" x14ac:dyDescent="0.2">
      <c r="A4571" t="str">
        <f>"02/04/2006"</f>
        <v>02/04/2006</v>
      </c>
      <c r="B4571">
        <v>1</v>
      </c>
      <c r="C4571">
        <v>5500</v>
      </c>
      <c r="D4571">
        <v>3470</v>
      </c>
      <c r="E4571">
        <v>3470</v>
      </c>
      <c r="F4571">
        <v>3470</v>
      </c>
      <c r="G4571" s="1">
        <v>0.05</v>
      </c>
      <c r="H4571" s="1">
        <v>4.99E-2</v>
      </c>
      <c r="I4571" s="1">
        <v>4.99E-2</v>
      </c>
      <c r="J4571" s="1">
        <v>1</v>
      </c>
    </row>
    <row r="4572" spans="1:10" x14ac:dyDescent="0.2">
      <c r="A4572" t="str">
        <f>"31/03/2006"</f>
        <v>31/03/2006</v>
      </c>
      <c r="B4572">
        <v>2</v>
      </c>
      <c r="C4572">
        <v>2000</v>
      </c>
      <c r="D4572">
        <v>4220</v>
      </c>
      <c r="E4572">
        <v>2000</v>
      </c>
      <c r="F4572">
        <v>2000</v>
      </c>
      <c r="G4572" s="1">
        <v>4.99E-2</v>
      </c>
      <c r="H4572" s="1">
        <v>4.99E-2</v>
      </c>
      <c r="I4572" s="1">
        <v>4.99E-2</v>
      </c>
      <c r="J4572" s="1">
        <v>0.86960000000000004</v>
      </c>
    </row>
    <row r="4573" spans="1:10" x14ac:dyDescent="0.2">
      <c r="A4573" t="str">
        <f>"13/03/2006"</f>
        <v>13/03/2006</v>
      </c>
      <c r="B4573">
        <v>2</v>
      </c>
      <c r="C4573">
        <v>2000</v>
      </c>
      <c r="D4573">
        <v>677</v>
      </c>
      <c r="E4573">
        <v>677</v>
      </c>
      <c r="F4573">
        <v>677</v>
      </c>
      <c r="G4573" s="1">
        <v>4.7500000000000001E-2</v>
      </c>
      <c r="H4573" s="1">
        <v>4.7399999999999998E-2</v>
      </c>
      <c r="I4573" s="1">
        <v>4.7399999999999998E-2</v>
      </c>
      <c r="J4573" s="1">
        <v>1</v>
      </c>
    </row>
    <row r="4574" spans="1:10" x14ac:dyDescent="0.2">
      <c r="A4574" t="str">
        <f>"12/03/2006"</f>
        <v>12/03/2006</v>
      </c>
      <c r="B4574">
        <v>1</v>
      </c>
      <c r="C4574">
        <v>2000</v>
      </c>
      <c r="D4574">
        <v>3100</v>
      </c>
      <c r="E4574">
        <v>2000</v>
      </c>
      <c r="F4574">
        <v>2000</v>
      </c>
      <c r="G4574" s="1">
        <v>4.7500000000000001E-2</v>
      </c>
      <c r="H4574" s="1">
        <v>4.7500000000000001E-2</v>
      </c>
      <c r="I4574" s="1">
        <v>4.7500000000000001E-2</v>
      </c>
      <c r="J4574" s="1">
        <v>0.6452</v>
      </c>
    </row>
    <row r="4575" spans="1:10" x14ac:dyDescent="0.2">
      <c r="A4575" t="str">
        <f>"09/03/2006"</f>
        <v>09/03/2006</v>
      </c>
      <c r="B4575">
        <v>3</v>
      </c>
      <c r="C4575">
        <v>2500</v>
      </c>
      <c r="D4575">
        <v>1065</v>
      </c>
      <c r="E4575">
        <v>1065</v>
      </c>
      <c r="F4575">
        <v>1065</v>
      </c>
      <c r="G4575" s="1">
        <v>4.7500000000000001E-2</v>
      </c>
      <c r="H4575" s="1">
        <v>4.7500000000000001E-2</v>
      </c>
      <c r="I4575" s="1">
        <v>4.7500000000000001E-2</v>
      </c>
      <c r="J4575" s="1">
        <v>1</v>
      </c>
    </row>
    <row r="4576" spans="1:10" x14ac:dyDescent="0.2">
      <c r="A4576" t="str">
        <f>"08/03/2006"</f>
        <v>08/03/2006</v>
      </c>
      <c r="B4576">
        <v>1</v>
      </c>
      <c r="C4576">
        <v>3500</v>
      </c>
      <c r="D4576">
        <v>2180</v>
      </c>
      <c r="E4576">
        <v>2180</v>
      </c>
      <c r="F4576">
        <v>2180</v>
      </c>
      <c r="G4576" s="1">
        <v>4.7500000000000001E-2</v>
      </c>
      <c r="H4576" s="1">
        <v>4.7500000000000001E-2</v>
      </c>
      <c r="I4576" s="1">
        <v>4.7500000000000001E-2</v>
      </c>
      <c r="J4576" s="1">
        <v>1</v>
      </c>
    </row>
    <row r="4577" spans="1:10" x14ac:dyDescent="0.2">
      <c r="A4577" t="str">
        <f>"07/03/2006"</f>
        <v>07/03/2006</v>
      </c>
      <c r="B4577">
        <v>1</v>
      </c>
      <c r="C4577">
        <v>7500</v>
      </c>
      <c r="D4577">
        <v>7101</v>
      </c>
      <c r="E4577">
        <v>7101</v>
      </c>
      <c r="F4577">
        <v>7101</v>
      </c>
      <c r="G4577" s="1">
        <v>4.7500000000000001E-2</v>
      </c>
      <c r="H4577" s="1">
        <v>4.7500000000000001E-2</v>
      </c>
      <c r="I4577" s="1">
        <v>4.7500000000000001E-2</v>
      </c>
      <c r="J4577" s="1">
        <v>1</v>
      </c>
    </row>
    <row r="4578" spans="1:10" x14ac:dyDescent="0.2">
      <c r="A4578" t="str">
        <f>"06/03/2006"</f>
        <v>06/03/2006</v>
      </c>
      <c r="B4578">
        <v>1</v>
      </c>
      <c r="C4578">
        <v>7000</v>
      </c>
      <c r="D4578">
        <v>7360</v>
      </c>
      <c r="E4578">
        <v>7000</v>
      </c>
      <c r="F4578">
        <v>7000</v>
      </c>
      <c r="G4578" s="1">
        <v>4.7500000000000001E-2</v>
      </c>
      <c r="H4578" s="1">
        <v>4.7500000000000001E-2</v>
      </c>
      <c r="I4578" s="1">
        <v>4.7500000000000001E-2</v>
      </c>
      <c r="J4578" s="1">
        <v>0.94730000000000003</v>
      </c>
    </row>
    <row r="4579" spans="1:10" x14ac:dyDescent="0.2">
      <c r="A4579" t="str">
        <f>"05/03/2006"</f>
        <v>05/03/2006</v>
      </c>
      <c r="B4579">
        <v>1</v>
      </c>
      <c r="C4579">
        <v>8000</v>
      </c>
      <c r="D4579">
        <v>7640</v>
      </c>
      <c r="E4579">
        <v>7640</v>
      </c>
      <c r="F4579">
        <v>7640</v>
      </c>
      <c r="G4579" s="1">
        <v>4.7500000000000001E-2</v>
      </c>
      <c r="H4579" s="1">
        <v>4.7500000000000001E-2</v>
      </c>
      <c r="I4579" s="1">
        <v>4.7500000000000001E-2</v>
      </c>
      <c r="J4579" s="1">
        <v>1</v>
      </c>
    </row>
    <row r="4580" spans="1:10" x14ac:dyDescent="0.2">
      <c r="A4580" t="str">
        <f>"02/03/2006"</f>
        <v>02/03/2006</v>
      </c>
      <c r="B4580">
        <v>3</v>
      </c>
      <c r="C4580">
        <v>8000</v>
      </c>
      <c r="D4580">
        <v>5720</v>
      </c>
      <c r="E4580">
        <v>5720</v>
      </c>
      <c r="F4580">
        <v>5720</v>
      </c>
      <c r="G4580" s="1">
        <v>4.7500000000000001E-2</v>
      </c>
      <c r="H4580" s="1">
        <v>4.7500000000000001E-2</v>
      </c>
      <c r="I4580" s="1">
        <v>4.7500000000000001E-2</v>
      </c>
      <c r="J4580" s="1">
        <v>1</v>
      </c>
    </row>
    <row r="4581" spans="1:10" x14ac:dyDescent="0.2">
      <c r="A4581" t="str">
        <f>"01/03/2006"</f>
        <v>01/03/2006</v>
      </c>
      <c r="B4581">
        <v>1</v>
      </c>
      <c r="C4581">
        <v>6500</v>
      </c>
      <c r="D4581">
        <v>2820</v>
      </c>
      <c r="E4581">
        <v>2820</v>
      </c>
      <c r="F4581">
        <v>2820</v>
      </c>
      <c r="G4581" s="1">
        <v>4.7500000000000001E-2</v>
      </c>
      <c r="H4581" s="1">
        <v>4.7399999999999998E-2</v>
      </c>
      <c r="I4581" s="1">
        <v>4.7399999999999998E-2</v>
      </c>
      <c r="J4581" s="1">
        <v>1</v>
      </c>
    </row>
    <row r="4582" spans="1:10" x14ac:dyDescent="0.2">
      <c r="A4582" t="str">
        <f>"15/02/2006"</f>
        <v>15/02/2006</v>
      </c>
      <c r="B4582">
        <v>1</v>
      </c>
      <c r="C4582">
        <v>6000</v>
      </c>
      <c r="D4582">
        <v>7629</v>
      </c>
      <c r="E4582">
        <v>6000</v>
      </c>
      <c r="F4582">
        <v>6000</v>
      </c>
      <c r="G4582" s="1">
        <v>4.7500000000000001E-2</v>
      </c>
      <c r="H4582" s="1">
        <v>4.7500000000000001E-2</v>
      </c>
      <c r="I4582" s="1">
        <v>4.7500000000000001E-2</v>
      </c>
      <c r="J4582" s="1">
        <v>0.77539999999999998</v>
      </c>
    </row>
    <row r="4583" spans="1:10" x14ac:dyDescent="0.2">
      <c r="A4583" t="str">
        <f>"14/02/2006"</f>
        <v>14/02/2006</v>
      </c>
      <c r="B4583">
        <v>1</v>
      </c>
      <c r="C4583">
        <v>7500</v>
      </c>
      <c r="D4583">
        <v>9640</v>
      </c>
      <c r="E4583">
        <v>7500</v>
      </c>
      <c r="F4583">
        <v>7500</v>
      </c>
      <c r="G4583" s="1">
        <v>4.7500000000000001E-2</v>
      </c>
      <c r="H4583" s="1">
        <v>4.7500000000000001E-2</v>
      </c>
      <c r="I4583" s="1">
        <v>4.7500000000000001E-2</v>
      </c>
      <c r="J4583" s="1">
        <v>0.76900000000000002</v>
      </c>
    </row>
    <row r="4584" spans="1:10" x14ac:dyDescent="0.2">
      <c r="A4584" t="str">
        <f>"13/02/2006"</f>
        <v>13/02/2006</v>
      </c>
      <c r="B4584">
        <v>1</v>
      </c>
      <c r="C4584">
        <v>7500</v>
      </c>
      <c r="D4584">
        <v>8595</v>
      </c>
      <c r="E4584">
        <v>7500</v>
      </c>
      <c r="F4584">
        <v>7500</v>
      </c>
      <c r="G4584" s="1">
        <v>4.7500000000000001E-2</v>
      </c>
      <c r="H4584" s="1">
        <v>4.7500000000000001E-2</v>
      </c>
      <c r="I4584" s="1">
        <v>4.7500000000000001E-2</v>
      </c>
      <c r="J4584" s="1">
        <v>0.86639999999999995</v>
      </c>
    </row>
    <row r="4585" spans="1:10" x14ac:dyDescent="0.2">
      <c r="A4585" t="str">
        <f>"12/02/2006"</f>
        <v>12/02/2006</v>
      </c>
      <c r="B4585">
        <v>1</v>
      </c>
      <c r="C4585">
        <v>7000</v>
      </c>
      <c r="D4585">
        <v>8450</v>
      </c>
      <c r="E4585">
        <v>7000</v>
      </c>
      <c r="F4585">
        <v>7000</v>
      </c>
      <c r="G4585" s="1">
        <v>4.7500000000000001E-2</v>
      </c>
      <c r="H4585" s="1">
        <v>4.7500000000000001E-2</v>
      </c>
      <c r="I4585" s="1">
        <v>4.7500000000000001E-2</v>
      </c>
      <c r="J4585" s="1">
        <v>0.81879999999999997</v>
      </c>
    </row>
    <row r="4586" spans="1:10" x14ac:dyDescent="0.2">
      <c r="A4586" t="str">
        <f>"09/02/2006"</f>
        <v>09/02/2006</v>
      </c>
      <c r="B4586">
        <v>3</v>
      </c>
      <c r="C4586">
        <v>6000</v>
      </c>
      <c r="D4586">
        <v>5592</v>
      </c>
      <c r="E4586">
        <v>5592</v>
      </c>
      <c r="F4586">
        <v>5592</v>
      </c>
      <c r="G4586" s="1">
        <v>4.7500000000000001E-2</v>
      </c>
      <c r="H4586" s="1">
        <v>4.7500000000000001E-2</v>
      </c>
      <c r="I4586" s="1">
        <v>4.7500000000000001E-2</v>
      </c>
      <c r="J4586" s="1">
        <v>1</v>
      </c>
    </row>
    <row r="4587" spans="1:10" x14ac:dyDescent="0.2">
      <c r="A4587" t="str">
        <f>"08/02/2006"</f>
        <v>08/02/2006</v>
      </c>
      <c r="B4587">
        <v>1</v>
      </c>
      <c r="C4587">
        <v>7500</v>
      </c>
      <c r="D4587">
        <v>7292</v>
      </c>
      <c r="E4587">
        <v>7292</v>
      </c>
      <c r="F4587">
        <v>7292</v>
      </c>
      <c r="G4587" s="1">
        <v>4.7500000000000001E-2</v>
      </c>
      <c r="H4587" s="1">
        <v>4.7500000000000001E-2</v>
      </c>
      <c r="I4587" s="1">
        <v>4.7500000000000001E-2</v>
      </c>
      <c r="J4587" s="1">
        <v>1</v>
      </c>
    </row>
    <row r="4588" spans="1:10" x14ac:dyDescent="0.2">
      <c r="A4588" t="str">
        <f>"07/02/2006"</f>
        <v>07/02/2006</v>
      </c>
      <c r="B4588">
        <v>1</v>
      </c>
      <c r="C4588">
        <v>10500</v>
      </c>
      <c r="D4588">
        <v>9677</v>
      </c>
      <c r="E4588">
        <v>9677</v>
      </c>
      <c r="F4588">
        <v>9677</v>
      </c>
      <c r="G4588" s="1">
        <v>4.7500000000000001E-2</v>
      </c>
      <c r="H4588" s="1">
        <v>4.7500000000000001E-2</v>
      </c>
      <c r="I4588" s="1">
        <v>4.7500000000000001E-2</v>
      </c>
      <c r="J4588" s="1">
        <v>1</v>
      </c>
    </row>
    <row r="4589" spans="1:10" x14ac:dyDescent="0.2">
      <c r="A4589" t="str">
        <f>"06/02/2006"</f>
        <v>06/02/2006</v>
      </c>
      <c r="B4589">
        <v>1</v>
      </c>
      <c r="C4589">
        <v>10500</v>
      </c>
      <c r="D4589">
        <v>10245</v>
      </c>
      <c r="E4589">
        <v>10245</v>
      </c>
      <c r="F4589">
        <v>10245</v>
      </c>
      <c r="G4589" s="1">
        <v>4.7500000000000001E-2</v>
      </c>
      <c r="H4589" s="1">
        <v>4.7500000000000001E-2</v>
      </c>
      <c r="I4589" s="1">
        <v>4.7500000000000001E-2</v>
      </c>
      <c r="J4589" s="1">
        <v>1</v>
      </c>
    </row>
    <row r="4590" spans="1:10" x14ac:dyDescent="0.2">
      <c r="A4590" t="str">
        <f>"05/02/2006"</f>
        <v>05/02/2006</v>
      </c>
      <c r="B4590">
        <v>1</v>
      </c>
      <c r="C4590">
        <v>11500</v>
      </c>
      <c r="D4590">
        <v>10075</v>
      </c>
      <c r="E4590">
        <v>10075</v>
      </c>
      <c r="F4590">
        <v>10075</v>
      </c>
      <c r="G4590" s="1">
        <v>4.7500000000000001E-2</v>
      </c>
      <c r="H4590" s="1">
        <v>4.7500000000000001E-2</v>
      </c>
      <c r="I4590" s="1">
        <v>4.7500000000000001E-2</v>
      </c>
      <c r="J4590" s="1">
        <v>1</v>
      </c>
    </row>
    <row r="4591" spans="1:10" x14ac:dyDescent="0.2">
      <c r="A4591" t="str">
        <f>"02/02/2006"</f>
        <v>02/02/2006</v>
      </c>
      <c r="B4591">
        <v>3</v>
      </c>
      <c r="C4591">
        <v>10500</v>
      </c>
      <c r="D4591">
        <v>8645</v>
      </c>
      <c r="E4591">
        <v>8645</v>
      </c>
      <c r="F4591">
        <v>8645</v>
      </c>
      <c r="G4591" s="1">
        <v>4.7500000000000001E-2</v>
      </c>
      <c r="H4591" s="1">
        <v>4.7500000000000001E-2</v>
      </c>
      <c r="I4591" s="1">
        <v>4.7500000000000001E-2</v>
      </c>
      <c r="J4591" s="1">
        <v>1</v>
      </c>
    </row>
    <row r="4592" spans="1:10" x14ac:dyDescent="0.2">
      <c r="A4592" t="str">
        <f>"01/02/2006"</f>
        <v>01/02/2006</v>
      </c>
      <c r="B4592">
        <v>1</v>
      </c>
      <c r="C4592">
        <v>10000</v>
      </c>
      <c r="D4592">
        <v>7030</v>
      </c>
      <c r="E4592">
        <v>7030</v>
      </c>
      <c r="F4592">
        <v>7030</v>
      </c>
      <c r="G4592" s="1">
        <v>4.7500000000000001E-2</v>
      </c>
      <c r="H4592" s="1">
        <v>4.7500000000000001E-2</v>
      </c>
      <c r="I4592" s="1">
        <v>4.7500000000000001E-2</v>
      </c>
      <c r="J4592" s="1">
        <v>1</v>
      </c>
    </row>
    <row r="4593" spans="1:10" x14ac:dyDescent="0.2">
      <c r="A4593" t="str">
        <f>"16/01/2006"</f>
        <v>16/01/2006</v>
      </c>
      <c r="B4593">
        <v>1</v>
      </c>
      <c r="C4593">
        <v>3000</v>
      </c>
      <c r="D4593">
        <v>5210</v>
      </c>
      <c r="E4593">
        <v>3000</v>
      </c>
      <c r="F4593">
        <v>3000</v>
      </c>
      <c r="G4593" s="1">
        <v>4.4999999999999998E-2</v>
      </c>
      <c r="H4593" s="1">
        <v>4.4999999999999998E-2</v>
      </c>
      <c r="I4593" s="1">
        <v>4.4999999999999998E-2</v>
      </c>
      <c r="J4593" s="1">
        <v>0.49890000000000001</v>
      </c>
    </row>
    <row r="4594" spans="1:10" x14ac:dyDescent="0.2">
      <c r="A4594" t="str">
        <f>"15/01/2006"</f>
        <v>15/01/2006</v>
      </c>
      <c r="B4594">
        <v>1</v>
      </c>
      <c r="C4594">
        <v>10000</v>
      </c>
      <c r="D4594">
        <v>12100</v>
      </c>
      <c r="E4594">
        <v>10000</v>
      </c>
      <c r="F4594">
        <v>10000</v>
      </c>
      <c r="G4594" s="1">
        <v>4.4999999999999998E-2</v>
      </c>
      <c r="H4594" s="1">
        <v>4.4999999999999998E-2</v>
      </c>
      <c r="I4594" s="1">
        <v>4.4999999999999998E-2</v>
      </c>
      <c r="J4594" s="1">
        <v>0.8125</v>
      </c>
    </row>
    <row r="4595" spans="1:10" x14ac:dyDescent="0.2">
      <c r="A4595" t="str">
        <f>"12/01/2006"</f>
        <v>12/01/2006</v>
      </c>
      <c r="B4595">
        <v>3</v>
      </c>
      <c r="C4595">
        <v>13000</v>
      </c>
      <c r="D4595">
        <v>12755</v>
      </c>
      <c r="E4595">
        <v>12755</v>
      </c>
      <c r="F4595">
        <v>12755</v>
      </c>
      <c r="G4595" s="1">
        <v>4.4999999999999998E-2</v>
      </c>
      <c r="H4595" s="1">
        <v>4.4999999999999998E-2</v>
      </c>
      <c r="I4595" s="1">
        <v>4.4999999999999998E-2</v>
      </c>
      <c r="J4595" s="1">
        <v>1</v>
      </c>
    </row>
    <row r="4596" spans="1:10" x14ac:dyDescent="0.2">
      <c r="A4596" t="str">
        <f>"11/01/2006"</f>
        <v>11/01/2006</v>
      </c>
      <c r="B4596">
        <v>1</v>
      </c>
      <c r="C4596">
        <v>8000</v>
      </c>
      <c r="D4596">
        <v>8830</v>
      </c>
      <c r="E4596">
        <v>8000</v>
      </c>
      <c r="F4596">
        <v>8000</v>
      </c>
      <c r="G4596" s="1">
        <v>4.4999999999999998E-2</v>
      </c>
      <c r="H4596" s="1">
        <v>4.4999999999999998E-2</v>
      </c>
      <c r="I4596" s="1">
        <v>4.4999999999999998E-2</v>
      </c>
      <c r="J4596" s="1">
        <v>0.90600000000000003</v>
      </c>
    </row>
    <row r="4597" spans="1:10" x14ac:dyDescent="0.2">
      <c r="A4597" t="str">
        <f>"10/01/2006"</f>
        <v>10/01/2006</v>
      </c>
      <c r="B4597">
        <v>1</v>
      </c>
      <c r="C4597">
        <v>8000</v>
      </c>
      <c r="D4597">
        <v>7408</v>
      </c>
      <c r="E4597">
        <v>7408</v>
      </c>
      <c r="F4597">
        <v>7408</v>
      </c>
      <c r="G4597" s="1">
        <v>4.4999999999999998E-2</v>
      </c>
      <c r="H4597" s="1">
        <v>4.4999999999999998E-2</v>
      </c>
      <c r="I4597" s="1">
        <v>4.4999999999999998E-2</v>
      </c>
      <c r="J4597" s="1">
        <v>1</v>
      </c>
    </row>
    <row r="4598" spans="1:10" x14ac:dyDescent="0.2">
      <c r="A4598" t="str">
        <f>"09/01/2006"</f>
        <v>09/01/2006</v>
      </c>
      <c r="B4598">
        <v>1</v>
      </c>
      <c r="C4598">
        <v>8000</v>
      </c>
      <c r="D4598">
        <v>8480</v>
      </c>
      <c r="E4598">
        <v>8000</v>
      </c>
      <c r="F4598">
        <v>8000</v>
      </c>
      <c r="G4598" s="1">
        <v>4.4999999999999998E-2</v>
      </c>
      <c r="H4598" s="1">
        <v>4.4999999999999998E-2</v>
      </c>
      <c r="I4598" s="1">
        <v>4.4999999999999998E-2</v>
      </c>
      <c r="J4598" s="1">
        <v>0.94340000000000002</v>
      </c>
    </row>
    <row r="4599" spans="1:10" x14ac:dyDescent="0.2">
      <c r="A4599" t="str">
        <f>"08/01/2006"</f>
        <v>08/01/2006</v>
      </c>
      <c r="B4599">
        <v>1</v>
      </c>
      <c r="C4599">
        <v>7500</v>
      </c>
      <c r="D4599">
        <v>7510</v>
      </c>
      <c r="E4599">
        <v>7500</v>
      </c>
      <c r="F4599">
        <v>7500</v>
      </c>
      <c r="G4599" s="1">
        <v>4.4999999999999998E-2</v>
      </c>
      <c r="H4599" s="1">
        <v>4.4999999999999998E-2</v>
      </c>
      <c r="I4599" s="1">
        <v>4.4999999999999998E-2</v>
      </c>
      <c r="J4599" s="1">
        <v>0.99870000000000003</v>
      </c>
    </row>
    <row r="4600" spans="1:10" x14ac:dyDescent="0.2">
      <c r="A4600" t="str">
        <f>"05/01/2006"</f>
        <v>05/01/2006</v>
      </c>
      <c r="B4600">
        <v>3</v>
      </c>
      <c r="C4600">
        <v>8500</v>
      </c>
      <c r="D4600">
        <v>7130</v>
      </c>
      <c r="E4600">
        <v>7130</v>
      </c>
      <c r="F4600">
        <v>7130</v>
      </c>
      <c r="G4600" s="1">
        <v>4.4999999999999998E-2</v>
      </c>
      <c r="H4600" s="1">
        <v>4.4999999999999998E-2</v>
      </c>
      <c r="I4600" s="1">
        <v>4.4999999999999998E-2</v>
      </c>
      <c r="J4600" s="1">
        <v>1</v>
      </c>
    </row>
    <row r="4601" spans="1:10" x14ac:dyDescent="0.2">
      <c r="A4601" t="str">
        <f>"04/01/2006"</f>
        <v>04/01/2006</v>
      </c>
      <c r="B4601">
        <v>1</v>
      </c>
      <c r="C4601">
        <v>13500</v>
      </c>
      <c r="D4601">
        <v>12833</v>
      </c>
      <c r="E4601">
        <v>12833</v>
      </c>
      <c r="F4601">
        <v>12833</v>
      </c>
      <c r="G4601" s="1">
        <v>4.4999999999999998E-2</v>
      </c>
      <c r="H4601" s="1">
        <v>4.4999999999999998E-2</v>
      </c>
      <c r="I4601" s="1">
        <v>4.4999999999999998E-2</v>
      </c>
      <c r="J4601" s="1">
        <v>1</v>
      </c>
    </row>
    <row r="4602" spans="1:10" x14ac:dyDescent="0.2">
      <c r="A4602" t="str">
        <f>"03/01/2006"</f>
        <v>03/01/2006</v>
      </c>
      <c r="B4602">
        <v>1</v>
      </c>
      <c r="C4602">
        <v>12000</v>
      </c>
      <c r="D4602">
        <v>9182</v>
      </c>
      <c r="E4602">
        <v>9182</v>
      </c>
      <c r="F4602">
        <v>9182</v>
      </c>
      <c r="G4602" s="1">
        <v>4.4999999999999998E-2</v>
      </c>
      <c r="H4602" s="1">
        <v>4.4999999999999998E-2</v>
      </c>
      <c r="I4602" s="1">
        <v>4.4999999999999998E-2</v>
      </c>
      <c r="J4602" s="1">
        <v>1</v>
      </c>
    </row>
    <row r="4603" spans="1:10" x14ac:dyDescent="0.2">
      <c r="A4603" t="str">
        <f>"02/01/2006"</f>
        <v>02/01/2006</v>
      </c>
      <c r="B4603">
        <v>1</v>
      </c>
      <c r="C4603">
        <v>12000</v>
      </c>
      <c r="D4603">
        <v>9170</v>
      </c>
      <c r="E4603">
        <v>9170</v>
      </c>
      <c r="F4603">
        <v>9170</v>
      </c>
      <c r="G4603" s="1">
        <v>4.4999999999999998E-2</v>
      </c>
      <c r="H4603" s="1">
        <v>4.4999999999999998E-2</v>
      </c>
      <c r="I4603" s="1">
        <v>4.4999999999999998E-2</v>
      </c>
      <c r="J4603" s="1">
        <v>1</v>
      </c>
    </row>
    <row r="4604" spans="1:10" x14ac:dyDescent="0.2">
      <c r="A4604" t="str">
        <f>"01/01/2006"</f>
        <v>01/01/2006</v>
      </c>
      <c r="B4604">
        <v>1</v>
      </c>
      <c r="C4604">
        <v>13000</v>
      </c>
      <c r="D4604">
        <v>10965</v>
      </c>
      <c r="E4604">
        <v>10965</v>
      </c>
      <c r="F4604">
        <v>10965</v>
      </c>
      <c r="G4604" s="1">
        <v>4.4999999999999998E-2</v>
      </c>
      <c r="H4604" s="1">
        <v>4.4999999999999998E-2</v>
      </c>
      <c r="I4604" s="1">
        <v>4.4999999999999998E-2</v>
      </c>
      <c r="J4604" s="1">
        <v>1</v>
      </c>
    </row>
    <row r="4605" spans="1:10" x14ac:dyDescent="0.2">
      <c r="A4605" t="str">
        <f>"29/12/2005"</f>
        <v>29/12/2005</v>
      </c>
      <c r="B4605">
        <v>3</v>
      </c>
      <c r="C4605">
        <v>9000</v>
      </c>
      <c r="D4605">
        <v>3560</v>
      </c>
      <c r="E4605">
        <v>3560</v>
      </c>
      <c r="F4605">
        <v>3560</v>
      </c>
      <c r="G4605" s="1">
        <v>4.4999999999999998E-2</v>
      </c>
      <c r="H4605" s="1">
        <v>4.4999999999999998E-2</v>
      </c>
      <c r="I4605" s="1">
        <v>4.4999999999999998E-2</v>
      </c>
      <c r="J4605" s="1">
        <v>1</v>
      </c>
    </row>
    <row r="4606" spans="1:10" x14ac:dyDescent="0.2">
      <c r="A4606" t="str">
        <f>"28/12/2005"</f>
        <v>28/12/2005</v>
      </c>
      <c r="B4606">
        <v>1</v>
      </c>
      <c r="C4606">
        <v>5000</v>
      </c>
      <c r="D4606">
        <v>1350</v>
      </c>
      <c r="E4606">
        <v>1350</v>
      </c>
      <c r="F4606">
        <v>1350</v>
      </c>
      <c r="G4606" s="1">
        <v>4.4999999999999998E-2</v>
      </c>
      <c r="H4606" s="1">
        <v>4.4999999999999998E-2</v>
      </c>
      <c r="I4606" s="1">
        <v>4.4999999999999998E-2</v>
      </c>
      <c r="J4606" s="1">
        <v>1</v>
      </c>
    </row>
    <row r="4607" spans="1:10" x14ac:dyDescent="0.2">
      <c r="A4607" t="str">
        <f>"27/12/2005"</f>
        <v>27/12/2005</v>
      </c>
      <c r="B4607">
        <v>1</v>
      </c>
      <c r="C4607">
        <v>2000</v>
      </c>
      <c r="D4607">
        <v>2372</v>
      </c>
      <c r="E4607">
        <v>2000</v>
      </c>
      <c r="F4607">
        <v>2000</v>
      </c>
      <c r="G4607" s="1">
        <v>4.4999999999999998E-2</v>
      </c>
      <c r="H4607" s="1">
        <v>4.4900000000000002E-2</v>
      </c>
      <c r="I4607" s="1">
        <v>4.4900000000000002E-2</v>
      </c>
      <c r="J4607" s="1">
        <v>0.71819999999999995</v>
      </c>
    </row>
    <row r="4608" spans="1:10" x14ac:dyDescent="0.2">
      <c r="A4608" t="str">
        <f>"26/12/2005"</f>
        <v>26/12/2005</v>
      </c>
      <c r="B4608">
        <v>1</v>
      </c>
      <c r="C4608">
        <v>2000</v>
      </c>
      <c r="D4608">
        <v>3017</v>
      </c>
      <c r="E4608">
        <v>2000</v>
      </c>
      <c r="F4608">
        <v>2000</v>
      </c>
      <c r="G4608" s="1">
        <v>4.4999999999999998E-2</v>
      </c>
      <c r="H4608" s="1">
        <v>4.4900000000000002E-2</v>
      </c>
      <c r="I4608" s="1">
        <v>4.4900000000000002E-2</v>
      </c>
      <c r="J4608" s="1">
        <v>0.41210000000000002</v>
      </c>
    </row>
    <row r="4609" spans="1:10" x14ac:dyDescent="0.2">
      <c r="A4609" t="str">
        <f>"25/12/2005"</f>
        <v>25/12/2005</v>
      </c>
      <c r="B4609">
        <v>1</v>
      </c>
      <c r="C4609">
        <v>2000</v>
      </c>
      <c r="D4609">
        <v>1565</v>
      </c>
      <c r="E4609">
        <v>1565</v>
      </c>
      <c r="F4609">
        <v>1565</v>
      </c>
      <c r="G4609" s="1">
        <v>4.4999999999999998E-2</v>
      </c>
      <c r="H4609" s="1">
        <v>4.4900000000000002E-2</v>
      </c>
      <c r="I4609" s="1">
        <v>4.4900000000000002E-2</v>
      </c>
      <c r="J4609" s="1">
        <v>1</v>
      </c>
    </row>
    <row r="4610" spans="1:10" x14ac:dyDescent="0.2">
      <c r="A4610" t="str">
        <f>"22/12/2005"</f>
        <v>22/12/2005</v>
      </c>
      <c r="B4610">
        <v>3</v>
      </c>
      <c r="C4610">
        <v>2000</v>
      </c>
      <c r="D4610">
        <v>2886</v>
      </c>
      <c r="E4610">
        <v>2000</v>
      </c>
      <c r="F4610">
        <v>2000</v>
      </c>
      <c r="G4610" s="1">
        <v>4.4999999999999998E-2</v>
      </c>
      <c r="H4610" s="1">
        <v>4.4900000000000002E-2</v>
      </c>
      <c r="I4610" s="1">
        <v>4.4900000000000002E-2</v>
      </c>
      <c r="J4610" s="1">
        <v>0.50529999999999997</v>
      </c>
    </row>
    <row r="4611" spans="1:10" x14ac:dyDescent="0.2">
      <c r="A4611" t="str">
        <f>"21/12/2005"</f>
        <v>21/12/2005</v>
      </c>
      <c r="B4611">
        <v>1</v>
      </c>
      <c r="C4611">
        <v>2000</v>
      </c>
      <c r="D4611">
        <v>2137</v>
      </c>
      <c r="E4611">
        <v>2000</v>
      </c>
      <c r="F4611">
        <v>2000</v>
      </c>
      <c r="G4611" s="1">
        <v>4.4999999999999998E-2</v>
      </c>
      <c r="H4611" s="1">
        <v>4.4900000000000002E-2</v>
      </c>
      <c r="I4611" s="1">
        <v>4.4900000000000002E-2</v>
      </c>
      <c r="J4611" s="1">
        <v>0.8679</v>
      </c>
    </row>
    <row r="4612" spans="1:10" x14ac:dyDescent="0.2">
      <c r="A4612" t="str">
        <f>"20/12/2005"</f>
        <v>20/12/2005</v>
      </c>
      <c r="B4612">
        <v>1</v>
      </c>
      <c r="C4612">
        <v>5000</v>
      </c>
      <c r="D4612">
        <v>5665</v>
      </c>
      <c r="E4612">
        <v>5000</v>
      </c>
      <c r="F4612">
        <v>5000</v>
      </c>
      <c r="G4612" s="1">
        <v>4.4999999999999998E-2</v>
      </c>
      <c r="H4612" s="1">
        <v>4.4999999999999998E-2</v>
      </c>
      <c r="I4612" s="1">
        <v>4.4999999999999998E-2</v>
      </c>
      <c r="J4612" s="1">
        <v>0.86260000000000003</v>
      </c>
    </row>
    <row r="4613" spans="1:10" x14ac:dyDescent="0.2">
      <c r="A4613" t="str">
        <f>"19/12/2005"</f>
        <v>19/12/2005</v>
      </c>
      <c r="B4613">
        <v>1</v>
      </c>
      <c r="C4613">
        <v>5000</v>
      </c>
      <c r="D4613">
        <v>5305</v>
      </c>
      <c r="E4613">
        <v>5000</v>
      </c>
      <c r="F4613">
        <v>5000</v>
      </c>
      <c r="G4613" s="1">
        <v>4.4999999999999998E-2</v>
      </c>
      <c r="H4613" s="1">
        <v>4.4999999999999998E-2</v>
      </c>
      <c r="I4613" s="1">
        <v>4.4999999999999998E-2</v>
      </c>
      <c r="J4613" s="1">
        <v>0.93279999999999996</v>
      </c>
    </row>
    <row r="4614" spans="1:10" x14ac:dyDescent="0.2">
      <c r="A4614" t="str">
        <f>"18/12/2005"</f>
        <v>18/12/2005</v>
      </c>
      <c r="B4614">
        <v>1</v>
      </c>
      <c r="C4614">
        <v>4000</v>
      </c>
      <c r="D4614">
        <v>4240</v>
      </c>
      <c r="E4614">
        <v>4000</v>
      </c>
      <c r="F4614">
        <v>4000</v>
      </c>
      <c r="G4614" s="1">
        <v>4.4999999999999998E-2</v>
      </c>
      <c r="H4614" s="1">
        <v>4.4999999999999998E-2</v>
      </c>
      <c r="I4614" s="1">
        <v>4.4999999999999998E-2</v>
      </c>
      <c r="J4614" s="1">
        <v>0.92220000000000002</v>
      </c>
    </row>
    <row r="4615" spans="1:10" x14ac:dyDescent="0.2">
      <c r="A4615" t="str">
        <f>"15/12/2005"</f>
        <v>15/12/2005</v>
      </c>
      <c r="B4615">
        <v>3</v>
      </c>
      <c r="C4615">
        <v>4000</v>
      </c>
      <c r="D4615">
        <v>8300</v>
      </c>
      <c r="E4615">
        <v>4000</v>
      </c>
      <c r="F4615">
        <v>4000</v>
      </c>
      <c r="G4615" s="1">
        <v>4.4999999999999998E-2</v>
      </c>
      <c r="H4615" s="1">
        <v>4.4999999999999998E-2</v>
      </c>
      <c r="I4615" s="1">
        <v>4.4999999999999998E-2</v>
      </c>
      <c r="J4615" s="1">
        <v>0.32919999999999999</v>
      </c>
    </row>
    <row r="4616" spans="1:10" x14ac:dyDescent="0.2">
      <c r="A4616" t="str">
        <f>"15/12/2005"</f>
        <v>15/12/2005</v>
      </c>
      <c r="B4616">
        <v>1</v>
      </c>
      <c r="C4616">
        <v>6000</v>
      </c>
      <c r="D4616">
        <v>7060</v>
      </c>
      <c r="E4616">
        <v>6000</v>
      </c>
      <c r="F4616">
        <v>6000</v>
      </c>
      <c r="G4616" s="1">
        <v>4.4999999999999998E-2</v>
      </c>
      <c r="H4616" s="1">
        <v>4.4999999999999998E-2</v>
      </c>
      <c r="I4616" s="1">
        <v>4.4999999999999998E-2</v>
      </c>
      <c r="J4616" s="1">
        <v>0.82210000000000005</v>
      </c>
    </row>
    <row r="4617" spans="1:10" x14ac:dyDescent="0.2">
      <c r="A4617" t="str">
        <f>"14/12/2005"</f>
        <v>14/12/2005</v>
      </c>
      <c r="B4617">
        <v>1</v>
      </c>
      <c r="C4617">
        <v>6500</v>
      </c>
      <c r="D4617">
        <v>6850</v>
      </c>
      <c r="E4617">
        <v>6500</v>
      </c>
      <c r="F4617">
        <v>6500</v>
      </c>
      <c r="G4617" s="1">
        <v>4.4999999999999998E-2</v>
      </c>
      <c r="H4617" s="1">
        <v>4.4999999999999998E-2</v>
      </c>
      <c r="I4617" s="1">
        <v>4.4999999999999998E-2</v>
      </c>
      <c r="J4617" s="1">
        <v>0.94889999999999997</v>
      </c>
    </row>
    <row r="4618" spans="1:10" x14ac:dyDescent="0.2">
      <c r="A4618" t="str">
        <f>"13/12/2005"</f>
        <v>13/12/2005</v>
      </c>
      <c r="B4618">
        <v>1</v>
      </c>
      <c r="C4618">
        <v>6500</v>
      </c>
      <c r="D4618">
        <v>5715</v>
      </c>
      <c r="E4618">
        <v>5715</v>
      </c>
      <c r="F4618">
        <v>5715</v>
      </c>
      <c r="G4618" s="1">
        <v>4.4999999999999998E-2</v>
      </c>
      <c r="H4618" s="1">
        <v>4.4999999999999998E-2</v>
      </c>
      <c r="I4618" s="1">
        <v>4.4999999999999998E-2</v>
      </c>
      <c r="J4618" s="1">
        <v>1</v>
      </c>
    </row>
    <row r="4619" spans="1:10" x14ac:dyDescent="0.2">
      <c r="A4619" t="str">
        <f>"12/12/2005"</f>
        <v>12/12/2005</v>
      </c>
      <c r="B4619">
        <v>1</v>
      </c>
      <c r="C4619">
        <v>6500</v>
      </c>
      <c r="D4619">
        <v>4913</v>
      </c>
      <c r="E4619">
        <v>4913</v>
      </c>
      <c r="F4619">
        <v>4913</v>
      </c>
      <c r="G4619" s="1">
        <v>4.4999999999999998E-2</v>
      </c>
      <c r="H4619" s="1">
        <v>4.4999999999999998E-2</v>
      </c>
      <c r="I4619" s="1">
        <v>4.4999999999999998E-2</v>
      </c>
      <c r="J4619" s="1">
        <v>1</v>
      </c>
    </row>
    <row r="4620" spans="1:10" x14ac:dyDescent="0.2">
      <c r="A4620" t="str">
        <f>"11/12/2005"</f>
        <v>11/12/2005</v>
      </c>
      <c r="B4620">
        <v>1</v>
      </c>
      <c r="C4620">
        <v>6000</v>
      </c>
      <c r="D4620">
        <v>5087</v>
      </c>
      <c r="E4620">
        <v>5087</v>
      </c>
      <c r="F4620">
        <v>5087</v>
      </c>
      <c r="G4620" s="1">
        <v>4.4999999999999998E-2</v>
      </c>
      <c r="H4620" s="1">
        <v>4.4999999999999998E-2</v>
      </c>
      <c r="I4620" s="1">
        <v>4.4999999999999998E-2</v>
      </c>
      <c r="J4620" s="1">
        <v>1</v>
      </c>
    </row>
    <row r="4621" spans="1:10" x14ac:dyDescent="0.2">
      <c r="A4621" t="str">
        <f>"08/12/2005"</f>
        <v>08/12/2005</v>
      </c>
      <c r="B4621">
        <v>3</v>
      </c>
      <c r="C4621">
        <v>6000</v>
      </c>
      <c r="D4621">
        <v>5949</v>
      </c>
      <c r="E4621">
        <v>5949</v>
      </c>
      <c r="F4621">
        <v>5949</v>
      </c>
      <c r="G4621" s="1">
        <v>4.4999999999999998E-2</v>
      </c>
      <c r="H4621" s="1">
        <v>4.4999999999999998E-2</v>
      </c>
      <c r="I4621" s="1">
        <v>4.4999999999999998E-2</v>
      </c>
      <c r="J4621" s="1">
        <v>1</v>
      </c>
    </row>
    <row r="4622" spans="1:10" x14ac:dyDescent="0.2">
      <c r="A4622" t="str">
        <f>"07/12/2005"</f>
        <v>07/12/2005</v>
      </c>
      <c r="B4622">
        <v>1</v>
      </c>
      <c r="C4622">
        <v>8000</v>
      </c>
      <c r="D4622">
        <v>7901</v>
      </c>
      <c r="E4622">
        <v>7901</v>
      </c>
      <c r="F4622">
        <v>7901</v>
      </c>
      <c r="G4622" s="1">
        <v>4.4999999999999998E-2</v>
      </c>
      <c r="H4622" s="1">
        <v>4.4999999999999998E-2</v>
      </c>
      <c r="I4622" s="1">
        <v>4.4999999999999998E-2</v>
      </c>
      <c r="J4622" s="1">
        <v>1</v>
      </c>
    </row>
    <row r="4623" spans="1:10" x14ac:dyDescent="0.2">
      <c r="A4623" t="str">
        <f>"06/12/2005"</f>
        <v>06/12/2005</v>
      </c>
      <c r="B4623">
        <v>1</v>
      </c>
      <c r="C4623">
        <v>4500</v>
      </c>
      <c r="D4623">
        <v>4591</v>
      </c>
      <c r="E4623">
        <v>4500</v>
      </c>
      <c r="F4623">
        <v>4500</v>
      </c>
      <c r="G4623" s="1">
        <v>4.4999999999999998E-2</v>
      </c>
      <c r="H4623" s="1">
        <v>4.4999999999999998E-2</v>
      </c>
      <c r="I4623" s="1">
        <v>4.4999999999999998E-2</v>
      </c>
      <c r="J4623" s="1">
        <v>0.97689999999999999</v>
      </c>
    </row>
    <row r="4624" spans="1:10" x14ac:dyDescent="0.2">
      <c r="A4624" t="str">
        <f>"05/12/2005"</f>
        <v>05/12/2005</v>
      </c>
      <c r="B4624">
        <v>1</v>
      </c>
      <c r="C4624">
        <v>5000</v>
      </c>
      <c r="D4624">
        <v>4601</v>
      </c>
      <c r="E4624">
        <v>4601</v>
      </c>
      <c r="F4624">
        <v>4601</v>
      </c>
      <c r="G4624" s="1">
        <v>4.4999999999999998E-2</v>
      </c>
      <c r="H4624" s="1">
        <v>4.4999999999999998E-2</v>
      </c>
      <c r="I4624" s="1">
        <v>4.4999999999999998E-2</v>
      </c>
      <c r="J4624" s="1">
        <v>1</v>
      </c>
    </row>
    <row r="4625" spans="1:10" x14ac:dyDescent="0.2">
      <c r="A4625" t="str">
        <f>"04/12/2005"</f>
        <v>04/12/2005</v>
      </c>
      <c r="B4625">
        <v>1</v>
      </c>
      <c r="C4625">
        <v>5500</v>
      </c>
      <c r="D4625">
        <v>4304</v>
      </c>
      <c r="E4625">
        <v>4304</v>
      </c>
      <c r="F4625">
        <v>4304</v>
      </c>
      <c r="G4625" s="1">
        <v>4.4999999999999998E-2</v>
      </c>
      <c r="H4625" s="1">
        <v>4.4999999999999998E-2</v>
      </c>
      <c r="I4625" s="1">
        <v>4.4999999999999998E-2</v>
      </c>
      <c r="J4625" s="1">
        <v>1</v>
      </c>
    </row>
    <row r="4626" spans="1:10" x14ac:dyDescent="0.2">
      <c r="A4626" t="str">
        <f>"01/12/2005"</f>
        <v>01/12/2005</v>
      </c>
      <c r="B4626">
        <v>3</v>
      </c>
      <c r="C4626">
        <v>4500</v>
      </c>
      <c r="D4626">
        <v>2860</v>
      </c>
      <c r="E4626">
        <v>2860</v>
      </c>
      <c r="F4626">
        <v>2860</v>
      </c>
      <c r="G4626" s="1">
        <v>4.4999999999999998E-2</v>
      </c>
      <c r="H4626" s="1">
        <v>4.4900000000000002E-2</v>
      </c>
      <c r="I4626" s="1">
        <v>4.4900000000000002E-2</v>
      </c>
      <c r="J4626" s="1">
        <v>1</v>
      </c>
    </row>
    <row r="4627" spans="1:10" x14ac:dyDescent="0.2">
      <c r="A4627" t="str">
        <f>"30/11/2005"</f>
        <v>30/11/2005</v>
      </c>
      <c r="B4627">
        <v>1</v>
      </c>
      <c r="C4627">
        <v>4500</v>
      </c>
      <c r="D4627">
        <v>1020</v>
      </c>
      <c r="E4627">
        <v>1020</v>
      </c>
      <c r="F4627">
        <v>1020</v>
      </c>
      <c r="G4627" s="1">
        <v>0.04</v>
      </c>
      <c r="H4627" s="1">
        <v>0.04</v>
      </c>
      <c r="I4627" s="1">
        <v>0.04</v>
      </c>
      <c r="J4627" s="1">
        <v>1</v>
      </c>
    </row>
    <row r="4628" spans="1:10" x14ac:dyDescent="0.2">
      <c r="A4628" t="str">
        <f>"29/11/2005"</f>
        <v>29/11/2005</v>
      </c>
      <c r="B4628">
        <v>1</v>
      </c>
      <c r="C4628">
        <v>3000</v>
      </c>
      <c r="D4628">
        <v>1050</v>
      </c>
      <c r="E4628">
        <v>1050</v>
      </c>
      <c r="F4628">
        <v>1050</v>
      </c>
      <c r="G4628" s="1">
        <v>0.04</v>
      </c>
      <c r="H4628" s="1">
        <v>0.04</v>
      </c>
      <c r="I4628" s="1">
        <v>0.04</v>
      </c>
      <c r="J4628" s="1">
        <v>1</v>
      </c>
    </row>
    <row r="4629" spans="1:10" x14ac:dyDescent="0.2">
      <c r="A4629" t="str">
        <f>"28/11/2005"</f>
        <v>28/11/2005</v>
      </c>
      <c r="B4629">
        <v>1</v>
      </c>
      <c r="C4629">
        <v>3000</v>
      </c>
      <c r="D4629">
        <v>2315</v>
      </c>
      <c r="E4629">
        <v>2315</v>
      </c>
      <c r="F4629">
        <v>2315</v>
      </c>
      <c r="G4629" s="1">
        <v>0.04</v>
      </c>
      <c r="H4629" s="1">
        <v>0.04</v>
      </c>
      <c r="I4629" s="1">
        <v>0.04</v>
      </c>
      <c r="J4629" s="1">
        <v>1</v>
      </c>
    </row>
    <row r="4630" spans="1:10" x14ac:dyDescent="0.2">
      <c r="A4630" t="str">
        <f>"23/11/2005"</f>
        <v>23/11/2005</v>
      </c>
      <c r="B4630">
        <v>1</v>
      </c>
      <c r="C4630">
        <v>2500</v>
      </c>
      <c r="D4630">
        <v>1690</v>
      </c>
      <c r="E4630">
        <v>1690</v>
      </c>
      <c r="F4630">
        <v>1690</v>
      </c>
      <c r="G4630" s="1">
        <v>0.04</v>
      </c>
      <c r="H4630" s="1">
        <v>0.04</v>
      </c>
      <c r="I4630" s="1">
        <v>0.04</v>
      </c>
      <c r="J4630" s="1">
        <v>1</v>
      </c>
    </row>
    <row r="4631" spans="1:10" x14ac:dyDescent="0.2">
      <c r="A4631" t="str">
        <f>"22/11/2005"</f>
        <v>22/11/2005</v>
      </c>
      <c r="B4631">
        <v>1</v>
      </c>
      <c r="C4631">
        <v>3000</v>
      </c>
      <c r="D4631">
        <v>1657</v>
      </c>
      <c r="E4631">
        <v>1657</v>
      </c>
      <c r="F4631">
        <v>1657</v>
      </c>
      <c r="G4631" s="1">
        <v>0.04</v>
      </c>
      <c r="H4631" s="1">
        <v>3.9899999999999998E-2</v>
      </c>
      <c r="I4631" s="1">
        <v>3.9899999999999998E-2</v>
      </c>
      <c r="J4631" s="1">
        <v>1</v>
      </c>
    </row>
    <row r="4632" spans="1:10" x14ac:dyDescent="0.2">
      <c r="A4632" t="str">
        <f>"21/11/2005"</f>
        <v>21/11/2005</v>
      </c>
      <c r="B4632">
        <v>1</v>
      </c>
      <c r="C4632">
        <v>3000</v>
      </c>
      <c r="D4632">
        <v>6172</v>
      </c>
      <c r="E4632">
        <v>3000</v>
      </c>
      <c r="F4632">
        <v>3000</v>
      </c>
      <c r="G4632" s="1">
        <v>0.04</v>
      </c>
      <c r="H4632" s="1">
        <v>0.04</v>
      </c>
      <c r="I4632" s="1">
        <v>0.04</v>
      </c>
      <c r="J4632" s="1">
        <v>0.40260000000000001</v>
      </c>
    </row>
    <row r="4633" spans="1:10" x14ac:dyDescent="0.2">
      <c r="A4633" t="str">
        <f>"20/11/2005"</f>
        <v>20/11/2005</v>
      </c>
      <c r="B4633">
        <v>1</v>
      </c>
      <c r="C4633">
        <v>3500</v>
      </c>
      <c r="D4633">
        <v>5450</v>
      </c>
      <c r="E4633">
        <v>3500</v>
      </c>
      <c r="F4633">
        <v>3500</v>
      </c>
      <c r="G4633" s="1">
        <v>0.04</v>
      </c>
      <c r="H4633" s="1">
        <v>0.04</v>
      </c>
      <c r="I4633" s="1">
        <v>0.04</v>
      </c>
      <c r="J4633" s="1">
        <v>0.47299999999999998</v>
      </c>
    </row>
    <row r="4634" spans="1:10" x14ac:dyDescent="0.2">
      <c r="A4634" t="str">
        <f>"17/11/2005"</f>
        <v>17/11/2005</v>
      </c>
      <c r="B4634">
        <v>3</v>
      </c>
      <c r="C4634">
        <v>2000</v>
      </c>
      <c r="D4634">
        <v>4511</v>
      </c>
      <c r="E4634">
        <v>2000</v>
      </c>
      <c r="F4634">
        <v>2000</v>
      </c>
      <c r="G4634" s="1">
        <v>0.04</v>
      </c>
      <c r="H4634" s="1">
        <v>3.9899999999999998E-2</v>
      </c>
      <c r="I4634" s="1">
        <v>3.9899999999999998E-2</v>
      </c>
      <c r="J4634" s="1">
        <v>0.25290000000000001</v>
      </c>
    </row>
    <row r="4635" spans="1:10" x14ac:dyDescent="0.2">
      <c r="A4635" t="str">
        <f>"16/11/2005"</f>
        <v>16/11/2005</v>
      </c>
      <c r="B4635">
        <v>1</v>
      </c>
      <c r="C4635">
        <v>2500</v>
      </c>
      <c r="D4635">
        <v>3775</v>
      </c>
      <c r="E4635">
        <v>2500</v>
      </c>
      <c r="F4635">
        <v>2500</v>
      </c>
      <c r="G4635" s="1">
        <v>0.04</v>
      </c>
      <c r="H4635" s="1">
        <v>3.9899999999999998E-2</v>
      </c>
      <c r="I4635" s="1">
        <v>3.9899999999999998E-2</v>
      </c>
      <c r="J4635" s="1">
        <v>0.47420000000000001</v>
      </c>
    </row>
    <row r="4636" spans="1:10" x14ac:dyDescent="0.2">
      <c r="A4636" t="str">
        <f>"15/11/2005"</f>
        <v>15/11/2005</v>
      </c>
      <c r="B4636">
        <v>1</v>
      </c>
      <c r="C4636">
        <v>11500</v>
      </c>
      <c r="D4636">
        <v>17645</v>
      </c>
      <c r="E4636">
        <v>11500</v>
      </c>
      <c r="F4636">
        <v>11500</v>
      </c>
      <c r="G4636" s="1">
        <v>0.04</v>
      </c>
      <c r="H4636" s="1">
        <v>0.04</v>
      </c>
      <c r="I4636" s="1">
        <v>0.04</v>
      </c>
      <c r="J4636" s="1">
        <v>0.58179999999999998</v>
      </c>
    </row>
    <row r="4637" spans="1:10" x14ac:dyDescent="0.2">
      <c r="A4637" t="str">
        <f>"14/11/2005"</f>
        <v>14/11/2005</v>
      </c>
      <c r="B4637">
        <v>1</v>
      </c>
      <c r="C4637">
        <v>13000</v>
      </c>
      <c r="D4637">
        <v>17160</v>
      </c>
      <c r="E4637">
        <v>13000</v>
      </c>
      <c r="F4637">
        <v>13000</v>
      </c>
      <c r="G4637" s="1">
        <v>0.04</v>
      </c>
      <c r="H4637" s="1">
        <v>0.04</v>
      </c>
      <c r="I4637" s="1">
        <v>0.04</v>
      </c>
      <c r="J4637" s="1">
        <v>0.75219999999999998</v>
      </c>
    </row>
    <row r="4638" spans="1:10" x14ac:dyDescent="0.2">
      <c r="A4638" t="str">
        <f>"13/11/2005"</f>
        <v>13/11/2005</v>
      </c>
      <c r="B4638">
        <v>1</v>
      </c>
      <c r="C4638">
        <v>13000</v>
      </c>
      <c r="D4638">
        <v>14707</v>
      </c>
      <c r="E4638">
        <v>13000</v>
      </c>
      <c r="F4638">
        <v>13000</v>
      </c>
      <c r="G4638" s="1">
        <v>0.04</v>
      </c>
      <c r="H4638" s="1">
        <v>0.04</v>
      </c>
      <c r="I4638" s="1">
        <v>0.04</v>
      </c>
      <c r="J4638" s="1">
        <v>0.88100000000000001</v>
      </c>
    </row>
    <row r="4639" spans="1:10" x14ac:dyDescent="0.2">
      <c r="A4639" t="str">
        <f>"10/11/2005"</f>
        <v>10/11/2005</v>
      </c>
      <c r="B4639">
        <v>3</v>
      </c>
      <c r="C4639">
        <v>13500</v>
      </c>
      <c r="D4639">
        <v>13805</v>
      </c>
      <c r="E4639">
        <v>13500</v>
      </c>
      <c r="F4639">
        <v>13500</v>
      </c>
      <c r="G4639" s="1">
        <v>0.04</v>
      </c>
      <c r="H4639" s="1">
        <v>0.04</v>
      </c>
      <c r="I4639" s="1">
        <v>0.04</v>
      </c>
      <c r="J4639" s="1">
        <v>0.97719999999999996</v>
      </c>
    </row>
    <row r="4640" spans="1:10" x14ac:dyDescent="0.2">
      <c r="A4640" t="str">
        <f>"09/11/2005"</f>
        <v>09/11/2005</v>
      </c>
      <c r="B4640">
        <v>1</v>
      </c>
      <c r="C4640">
        <v>14000</v>
      </c>
      <c r="D4640">
        <v>14330</v>
      </c>
      <c r="E4640">
        <v>14000</v>
      </c>
      <c r="F4640">
        <v>14000</v>
      </c>
      <c r="G4640" s="1">
        <v>0.04</v>
      </c>
      <c r="H4640" s="1">
        <v>0.04</v>
      </c>
      <c r="I4640" s="1">
        <v>0.04</v>
      </c>
      <c r="J4640" s="1">
        <v>0.97629999999999995</v>
      </c>
    </row>
    <row r="4641" spans="1:10" x14ac:dyDescent="0.2">
      <c r="A4641" t="str">
        <f>"08/11/2005"</f>
        <v>08/11/2005</v>
      </c>
      <c r="B4641">
        <v>1</v>
      </c>
      <c r="C4641">
        <v>14000</v>
      </c>
      <c r="D4641">
        <v>15335</v>
      </c>
      <c r="E4641">
        <v>14000</v>
      </c>
      <c r="F4641">
        <v>14000</v>
      </c>
      <c r="G4641" s="1">
        <v>0.04</v>
      </c>
      <c r="H4641" s="1">
        <v>0.04</v>
      </c>
      <c r="I4641" s="1">
        <v>0.04</v>
      </c>
      <c r="J4641" s="1">
        <v>0.9083</v>
      </c>
    </row>
    <row r="4642" spans="1:10" x14ac:dyDescent="0.2">
      <c r="A4642" t="str">
        <f>"07/11/2005"</f>
        <v>07/11/2005</v>
      </c>
      <c r="B4642">
        <v>1</v>
      </c>
      <c r="C4642">
        <v>14000</v>
      </c>
      <c r="D4642">
        <v>16125</v>
      </c>
      <c r="E4642">
        <v>14000</v>
      </c>
      <c r="F4642">
        <v>14000</v>
      </c>
      <c r="G4642" s="1">
        <v>0.04</v>
      </c>
      <c r="H4642" s="1">
        <v>0.04</v>
      </c>
      <c r="I4642" s="1">
        <v>0.04</v>
      </c>
      <c r="J4642" s="1">
        <v>0.85729999999999995</v>
      </c>
    </row>
    <row r="4643" spans="1:10" x14ac:dyDescent="0.2">
      <c r="A4643" t="str">
        <f>"06/11/2005"</f>
        <v>06/11/2005</v>
      </c>
      <c r="B4643">
        <v>1</v>
      </c>
      <c r="C4643">
        <v>14000</v>
      </c>
      <c r="D4643">
        <v>16515</v>
      </c>
      <c r="E4643">
        <v>14000</v>
      </c>
      <c r="F4643">
        <v>14000</v>
      </c>
      <c r="G4643" s="1">
        <v>0.04</v>
      </c>
      <c r="H4643" s="1">
        <v>0.04</v>
      </c>
      <c r="I4643" s="1">
        <v>0.04</v>
      </c>
      <c r="J4643" s="1">
        <v>0.84440000000000004</v>
      </c>
    </row>
    <row r="4644" spans="1:10" x14ac:dyDescent="0.2">
      <c r="A4644" t="str">
        <f>"03/11/2005"</f>
        <v>03/11/2005</v>
      </c>
      <c r="B4644">
        <v>3</v>
      </c>
      <c r="C4644">
        <v>14000</v>
      </c>
      <c r="D4644">
        <v>13085</v>
      </c>
      <c r="E4644">
        <v>13085</v>
      </c>
      <c r="F4644">
        <v>13085</v>
      </c>
      <c r="G4644" s="1">
        <v>0.04</v>
      </c>
      <c r="H4644" s="1">
        <v>0.04</v>
      </c>
      <c r="I4644" s="1">
        <v>0.04</v>
      </c>
      <c r="J4644" s="1">
        <v>1</v>
      </c>
    </row>
    <row r="4645" spans="1:10" x14ac:dyDescent="0.2">
      <c r="A4645" t="str">
        <f>"02/11/2005"</f>
        <v>02/11/2005</v>
      </c>
      <c r="B4645">
        <v>1</v>
      </c>
      <c r="C4645">
        <v>12500</v>
      </c>
      <c r="D4645">
        <v>14519</v>
      </c>
      <c r="E4645">
        <v>12500</v>
      </c>
      <c r="F4645">
        <v>12500</v>
      </c>
      <c r="G4645" s="1">
        <v>0.04</v>
      </c>
      <c r="H4645" s="1">
        <v>0.04</v>
      </c>
      <c r="I4645" s="1">
        <v>0.04</v>
      </c>
      <c r="J4645" s="1">
        <v>0.84489999999999998</v>
      </c>
    </row>
    <row r="4646" spans="1:10" x14ac:dyDescent="0.2">
      <c r="A4646" t="str">
        <f>"01/11/2005"</f>
        <v>01/11/2005</v>
      </c>
      <c r="B4646">
        <v>1</v>
      </c>
      <c r="C4646">
        <v>9500</v>
      </c>
      <c r="D4646">
        <v>12596</v>
      </c>
      <c r="E4646">
        <v>9500</v>
      </c>
      <c r="F4646">
        <v>9500</v>
      </c>
      <c r="G4646" s="1">
        <v>0.04</v>
      </c>
      <c r="H4646" s="1">
        <v>0.04</v>
      </c>
      <c r="I4646" s="1">
        <v>0.04</v>
      </c>
      <c r="J4646" s="1">
        <v>0.74150000000000005</v>
      </c>
    </row>
    <row r="4647" spans="1:10" x14ac:dyDescent="0.2">
      <c r="A4647" t="str">
        <f>"31/10/2005"</f>
        <v>31/10/2005</v>
      </c>
      <c r="B4647">
        <v>1</v>
      </c>
      <c r="C4647">
        <v>5500</v>
      </c>
      <c r="D4647">
        <v>7937</v>
      </c>
      <c r="E4647">
        <v>5500</v>
      </c>
      <c r="F4647">
        <v>5500</v>
      </c>
      <c r="G4647" s="1">
        <v>0.04</v>
      </c>
      <c r="H4647" s="1">
        <v>0.04</v>
      </c>
      <c r="I4647" s="1">
        <v>0.04</v>
      </c>
      <c r="J4647" s="1">
        <v>0.68210000000000004</v>
      </c>
    </row>
    <row r="4648" spans="1:10" x14ac:dyDescent="0.2">
      <c r="A4648" t="str">
        <f>"27/10/2005"</f>
        <v>27/10/2005</v>
      </c>
      <c r="B4648">
        <v>3</v>
      </c>
      <c r="C4648">
        <v>2000</v>
      </c>
      <c r="D4648">
        <v>4095</v>
      </c>
      <c r="E4648">
        <v>2000</v>
      </c>
      <c r="F4648">
        <v>2000</v>
      </c>
      <c r="G4648" s="1">
        <v>0.04</v>
      </c>
      <c r="H4648" s="1">
        <v>3.9399999999999998E-2</v>
      </c>
      <c r="I4648" s="1">
        <v>3.9399999999999998E-2</v>
      </c>
      <c r="J4648" s="1">
        <v>0.38290000000000002</v>
      </c>
    </row>
    <row r="4649" spans="1:10" x14ac:dyDescent="0.2">
      <c r="A4649" t="str">
        <f>"26/10/2005"</f>
        <v>26/10/2005</v>
      </c>
      <c r="B4649">
        <v>1</v>
      </c>
      <c r="C4649">
        <v>3500</v>
      </c>
      <c r="D4649">
        <v>1985</v>
      </c>
      <c r="E4649">
        <v>1985</v>
      </c>
      <c r="F4649">
        <v>1985</v>
      </c>
      <c r="G4649" s="1">
        <v>3.7499999999999999E-2</v>
      </c>
      <c r="H4649" s="1">
        <v>3.7499999999999999E-2</v>
      </c>
      <c r="I4649" s="1">
        <v>3.7499999999999999E-2</v>
      </c>
      <c r="J4649" s="1">
        <v>1</v>
      </c>
    </row>
    <row r="4650" spans="1:10" x14ac:dyDescent="0.2">
      <c r="A4650" t="str">
        <f>"24/10/2005"</f>
        <v>24/10/2005</v>
      </c>
      <c r="B4650">
        <v>2</v>
      </c>
      <c r="C4650">
        <v>2500</v>
      </c>
      <c r="D4650">
        <v>2540</v>
      </c>
      <c r="E4650">
        <v>2500</v>
      </c>
      <c r="F4650">
        <v>2500</v>
      </c>
      <c r="G4650" s="1">
        <v>3.7499999999999999E-2</v>
      </c>
      <c r="H4650" s="1">
        <v>3.7499999999999999E-2</v>
      </c>
      <c r="I4650" s="1">
        <v>3.7499999999999999E-2</v>
      </c>
      <c r="J4650" s="1">
        <v>0.98199999999999998</v>
      </c>
    </row>
    <row r="4651" spans="1:10" x14ac:dyDescent="0.2">
      <c r="A4651" t="str">
        <f>"23/10/2005"</f>
        <v>23/10/2005</v>
      </c>
      <c r="B4651">
        <v>1</v>
      </c>
      <c r="C4651">
        <v>2000</v>
      </c>
      <c r="D4651">
        <v>4586</v>
      </c>
      <c r="E4651">
        <v>2000</v>
      </c>
      <c r="F4651">
        <v>2000</v>
      </c>
      <c r="G4651" s="1">
        <v>3.7499999999999999E-2</v>
      </c>
      <c r="H4651" s="1">
        <v>3.7499999999999999E-2</v>
      </c>
      <c r="I4651" s="1">
        <v>3.7499999999999999E-2</v>
      </c>
      <c r="J4651" s="1">
        <v>0.3115</v>
      </c>
    </row>
    <row r="4652" spans="1:10" x14ac:dyDescent="0.2">
      <c r="A4652" t="str">
        <f>"20/10/2005"</f>
        <v>20/10/2005</v>
      </c>
      <c r="B4652">
        <v>3</v>
      </c>
      <c r="C4652">
        <v>3000</v>
      </c>
      <c r="D4652">
        <v>4735</v>
      </c>
      <c r="E4652">
        <v>3000</v>
      </c>
      <c r="F4652">
        <v>3000</v>
      </c>
      <c r="G4652" s="1">
        <v>3.7499999999999999E-2</v>
      </c>
      <c r="H4652" s="1">
        <v>3.7499999999999999E-2</v>
      </c>
      <c r="I4652" s="1">
        <v>3.7499999999999999E-2</v>
      </c>
      <c r="J4652" s="1">
        <v>0.6119</v>
      </c>
    </row>
    <row r="4653" spans="1:10" x14ac:dyDescent="0.2">
      <c r="A4653" t="str">
        <f>"19/10/2005"</f>
        <v>19/10/2005</v>
      </c>
      <c r="B4653">
        <v>1</v>
      </c>
      <c r="C4653">
        <v>4000</v>
      </c>
      <c r="D4653">
        <v>6656</v>
      </c>
      <c r="E4653">
        <v>4000</v>
      </c>
      <c r="F4653">
        <v>4000</v>
      </c>
      <c r="G4653" s="1">
        <v>3.7499999999999999E-2</v>
      </c>
      <c r="H4653" s="1">
        <v>3.7499999999999999E-2</v>
      </c>
      <c r="I4653" s="1">
        <v>3.7499999999999999E-2</v>
      </c>
      <c r="J4653" s="1">
        <v>0.57950000000000002</v>
      </c>
    </row>
    <row r="4654" spans="1:10" x14ac:dyDescent="0.2">
      <c r="A4654" t="str">
        <f>"17/10/2005"</f>
        <v>17/10/2005</v>
      </c>
      <c r="B4654">
        <v>2</v>
      </c>
      <c r="C4654">
        <v>6000</v>
      </c>
      <c r="D4654">
        <v>7325</v>
      </c>
      <c r="E4654">
        <v>6000</v>
      </c>
      <c r="F4654">
        <v>6000</v>
      </c>
      <c r="G4654" s="1">
        <v>3.7499999999999999E-2</v>
      </c>
      <c r="H4654" s="1">
        <v>3.7499999999999999E-2</v>
      </c>
      <c r="I4654" s="1">
        <v>3.7499999999999999E-2</v>
      </c>
      <c r="J4654" s="1">
        <v>0.81059999999999999</v>
      </c>
    </row>
    <row r="4655" spans="1:10" x14ac:dyDescent="0.2">
      <c r="A4655" t="str">
        <f>"16/10/2005"</f>
        <v>16/10/2005</v>
      </c>
      <c r="B4655">
        <v>1</v>
      </c>
      <c r="C4655">
        <v>9500</v>
      </c>
      <c r="D4655">
        <v>5040</v>
      </c>
      <c r="E4655">
        <v>5040</v>
      </c>
      <c r="F4655">
        <v>5040</v>
      </c>
      <c r="G4655" s="1">
        <v>3.7499999999999999E-2</v>
      </c>
      <c r="H4655" s="1">
        <v>3.7499999999999999E-2</v>
      </c>
      <c r="I4655" s="1">
        <v>3.7499999999999999E-2</v>
      </c>
      <c r="J4655" s="1">
        <v>1</v>
      </c>
    </row>
    <row r="4656" spans="1:10" x14ac:dyDescent="0.2">
      <c r="A4656" t="str">
        <f>"11/10/2005"</f>
        <v>11/10/2005</v>
      </c>
      <c r="B4656">
        <v>5</v>
      </c>
      <c r="C4656">
        <v>9000</v>
      </c>
      <c r="D4656">
        <v>7280</v>
      </c>
      <c r="E4656">
        <v>7280</v>
      </c>
      <c r="F4656">
        <v>7280</v>
      </c>
      <c r="G4656" s="1">
        <v>3.7499999999999999E-2</v>
      </c>
      <c r="H4656" s="1">
        <v>3.7499999999999999E-2</v>
      </c>
      <c r="I4656" s="1">
        <v>3.7499999999999999E-2</v>
      </c>
      <c r="J4656" s="1">
        <v>1</v>
      </c>
    </row>
    <row r="4657" spans="1:10" x14ac:dyDescent="0.2">
      <c r="A4657" t="str">
        <f>"10/10/2005"</f>
        <v>10/10/2005</v>
      </c>
      <c r="B4657">
        <v>1</v>
      </c>
      <c r="C4657">
        <v>10000</v>
      </c>
      <c r="D4657">
        <v>6408</v>
      </c>
      <c r="E4657">
        <v>6408</v>
      </c>
      <c r="F4657">
        <v>6408</v>
      </c>
      <c r="G4657" s="1">
        <v>3.7499999999999999E-2</v>
      </c>
      <c r="H4657" s="1">
        <v>3.7499999999999999E-2</v>
      </c>
      <c r="I4657" s="1">
        <v>3.7499999999999999E-2</v>
      </c>
      <c r="J4657" s="1">
        <v>1</v>
      </c>
    </row>
    <row r="4658" spans="1:10" x14ac:dyDescent="0.2">
      <c r="A4658" t="str">
        <f>"09/10/2005"</f>
        <v>09/10/2005</v>
      </c>
      <c r="B4658">
        <v>1</v>
      </c>
      <c r="C4658">
        <v>10000</v>
      </c>
      <c r="D4658">
        <v>8920</v>
      </c>
      <c r="E4658">
        <v>8920</v>
      </c>
      <c r="F4658">
        <v>8920</v>
      </c>
      <c r="G4658" s="1">
        <v>3.7499999999999999E-2</v>
      </c>
      <c r="H4658" s="1">
        <v>3.7499999999999999E-2</v>
      </c>
      <c r="I4658" s="1">
        <v>3.7499999999999999E-2</v>
      </c>
      <c r="J4658" s="1">
        <v>1</v>
      </c>
    </row>
    <row r="4659" spans="1:10" x14ac:dyDescent="0.2">
      <c r="A4659" t="str">
        <f>"06/10/2005"</f>
        <v>06/10/2005</v>
      </c>
      <c r="B4659">
        <v>3</v>
      </c>
      <c r="C4659">
        <v>11000</v>
      </c>
      <c r="D4659">
        <v>25000</v>
      </c>
      <c r="E4659">
        <v>11000</v>
      </c>
      <c r="F4659">
        <v>11000</v>
      </c>
      <c r="G4659" s="1">
        <v>3.7499999999999999E-2</v>
      </c>
      <c r="H4659" s="1">
        <v>3.7499999999999999E-2</v>
      </c>
      <c r="I4659" s="1">
        <v>3.7499999999999999E-2</v>
      </c>
      <c r="J4659" s="1">
        <v>0.4098</v>
      </c>
    </row>
    <row r="4660" spans="1:10" x14ac:dyDescent="0.2">
      <c r="A4660" t="str">
        <f>"06/10/2005"</f>
        <v>06/10/2005</v>
      </c>
      <c r="B4660">
        <v>1</v>
      </c>
      <c r="C4660">
        <v>7000</v>
      </c>
      <c r="D4660">
        <v>8165</v>
      </c>
      <c r="E4660">
        <v>7000</v>
      </c>
      <c r="F4660">
        <v>7000</v>
      </c>
      <c r="G4660" s="1">
        <v>3.7499999999999999E-2</v>
      </c>
      <c r="H4660" s="1">
        <v>3.7499999999999999E-2</v>
      </c>
      <c r="I4660" s="1">
        <v>3.7499999999999999E-2</v>
      </c>
      <c r="J4660" s="1">
        <v>0.8327</v>
      </c>
    </row>
    <row r="4661" spans="1:10" x14ac:dyDescent="0.2">
      <c r="A4661" t="str">
        <f>"02/10/2005"</f>
        <v>02/10/2005</v>
      </c>
      <c r="B4661">
        <v>4</v>
      </c>
      <c r="C4661">
        <v>10500</v>
      </c>
      <c r="D4661">
        <v>19480</v>
      </c>
      <c r="E4661">
        <v>10500</v>
      </c>
      <c r="F4661">
        <v>10500</v>
      </c>
      <c r="G4661" s="1">
        <v>3.7499999999999999E-2</v>
      </c>
      <c r="H4661" s="1">
        <v>3.7499999999999999E-2</v>
      </c>
      <c r="I4661" s="1">
        <v>3.7499999999999999E-2</v>
      </c>
      <c r="J4661" s="1">
        <v>0.49349999999999999</v>
      </c>
    </row>
    <row r="4662" spans="1:10" x14ac:dyDescent="0.2">
      <c r="A4662" t="str">
        <f>"29/09/2005"</f>
        <v>29/09/2005</v>
      </c>
      <c r="B4662">
        <v>3</v>
      </c>
      <c r="C4662">
        <v>5500</v>
      </c>
      <c r="D4662">
        <v>5415</v>
      </c>
      <c r="E4662">
        <v>5415</v>
      </c>
      <c r="F4662">
        <v>5415</v>
      </c>
      <c r="G4662" s="1">
        <v>3.7499999999999999E-2</v>
      </c>
      <c r="H4662" s="1">
        <v>3.73E-2</v>
      </c>
      <c r="I4662" s="1">
        <v>3.73E-2</v>
      </c>
      <c r="J4662" s="1">
        <v>1</v>
      </c>
    </row>
    <row r="4663" spans="1:10" x14ac:dyDescent="0.2">
      <c r="A4663" t="str">
        <f>"28/09/2005"</f>
        <v>28/09/2005</v>
      </c>
      <c r="B4663">
        <v>1</v>
      </c>
      <c r="C4663">
        <v>6500</v>
      </c>
      <c r="D4663">
        <v>4290</v>
      </c>
      <c r="E4663">
        <v>4290</v>
      </c>
      <c r="F4663">
        <v>4290</v>
      </c>
      <c r="G4663" s="1">
        <v>3.5000000000000003E-2</v>
      </c>
      <c r="H4663" s="1">
        <v>3.5000000000000003E-2</v>
      </c>
      <c r="I4663" s="1">
        <v>3.5000000000000003E-2</v>
      </c>
      <c r="J4663" s="1">
        <v>1</v>
      </c>
    </row>
    <row r="4664" spans="1:10" x14ac:dyDescent="0.2">
      <c r="A4664" t="str">
        <f>"27/09/2005"</f>
        <v>27/09/2005</v>
      </c>
      <c r="B4664">
        <v>1</v>
      </c>
      <c r="C4664">
        <v>4500</v>
      </c>
      <c r="D4664">
        <v>6300</v>
      </c>
      <c r="E4664">
        <v>4500</v>
      </c>
      <c r="F4664">
        <v>4500</v>
      </c>
      <c r="G4664" s="1">
        <v>3.5000000000000003E-2</v>
      </c>
      <c r="H4664" s="1">
        <v>3.5000000000000003E-2</v>
      </c>
      <c r="I4664" s="1">
        <v>3.5000000000000003E-2</v>
      </c>
      <c r="J4664" s="1">
        <v>0.70489999999999997</v>
      </c>
    </row>
    <row r="4665" spans="1:10" x14ac:dyDescent="0.2">
      <c r="A4665" t="str">
        <f>"26/09/2005"</f>
        <v>26/09/2005</v>
      </c>
      <c r="B4665">
        <v>1</v>
      </c>
      <c r="C4665">
        <v>4500</v>
      </c>
      <c r="D4665">
        <v>10150</v>
      </c>
      <c r="E4665">
        <v>4500</v>
      </c>
      <c r="F4665">
        <v>4500</v>
      </c>
      <c r="G4665" s="1">
        <v>3.5000000000000003E-2</v>
      </c>
      <c r="H4665" s="1">
        <v>3.5000000000000003E-2</v>
      </c>
      <c r="I4665" s="1">
        <v>3.5000000000000003E-2</v>
      </c>
      <c r="J4665" s="1">
        <v>0.40529999999999999</v>
      </c>
    </row>
    <row r="4666" spans="1:10" x14ac:dyDescent="0.2">
      <c r="A4666" t="str">
        <f>"25/09/2005"</f>
        <v>25/09/2005</v>
      </c>
      <c r="B4666">
        <v>1</v>
      </c>
      <c r="C4666">
        <v>3500</v>
      </c>
      <c r="D4666">
        <v>8660</v>
      </c>
      <c r="E4666">
        <v>3500</v>
      </c>
      <c r="F4666">
        <v>3500</v>
      </c>
      <c r="G4666" s="1">
        <v>3.5000000000000003E-2</v>
      </c>
      <c r="H4666" s="1">
        <v>3.5000000000000003E-2</v>
      </c>
      <c r="I4666" s="1">
        <v>3.5000000000000003E-2</v>
      </c>
      <c r="J4666" s="1">
        <v>0.39510000000000001</v>
      </c>
    </row>
    <row r="4667" spans="1:10" x14ac:dyDescent="0.2">
      <c r="A4667" t="str">
        <f>"22/09/2005"</f>
        <v>22/09/2005</v>
      </c>
      <c r="B4667">
        <v>3</v>
      </c>
      <c r="C4667">
        <v>3500</v>
      </c>
      <c r="D4667">
        <v>7470</v>
      </c>
      <c r="E4667">
        <v>3500</v>
      </c>
      <c r="F4667">
        <v>3500</v>
      </c>
      <c r="G4667" s="1">
        <v>3.5000000000000003E-2</v>
      </c>
      <c r="H4667" s="1">
        <v>3.5000000000000003E-2</v>
      </c>
      <c r="I4667" s="1">
        <v>3.5000000000000003E-2</v>
      </c>
      <c r="J4667" s="1">
        <v>0.4577</v>
      </c>
    </row>
    <row r="4668" spans="1:10" x14ac:dyDescent="0.2">
      <c r="A4668" t="str">
        <f>"21/09/2005"</f>
        <v>21/09/2005</v>
      </c>
      <c r="B4668">
        <v>1</v>
      </c>
      <c r="C4668">
        <v>4500</v>
      </c>
      <c r="D4668">
        <v>17000</v>
      </c>
      <c r="E4668">
        <v>4500</v>
      </c>
      <c r="F4668">
        <v>4500</v>
      </c>
      <c r="G4668" s="1">
        <v>3.5000000000000003E-2</v>
      </c>
      <c r="H4668" s="1">
        <v>3.5000000000000003E-2</v>
      </c>
      <c r="I4668" s="1">
        <v>3.5000000000000003E-2</v>
      </c>
      <c r="J4668" s="1">
        <v>0.25819999999999999</v>
      </c>
    </row>
    <row r="4669" spans="1:10" x14ac:dyDescent="0.2">
      <c r="A4669" t="str">
        <f>"20/09/2005"</f>
        <v>20/09/2005</v>
      </c>
      <c r="B4669">
        <v>1</v>
      </c>
      <c r="C4669">
        <v>8000</v>
      </c>
      <c r="D4669">
        <v>29450</v>
      </c>
      <c r="E4669">
        <v>8000</v>
      </c>
      <c r="F4669">
        <v>8000</v>
      </c>
      <c r="G4669" s="1">
        <v>3.5000000000000003E-2</v>
      </c>
      <c r="H4669" s="1">
        <v>3.5000000000000003E-2</v>
      </c>
      <c r="I4669" s="1">
        <v>3.5000000000000003E-2</v>
      </c>
      <c r="J4669" s="1">
        <v>0.26790000000000003</v>
      </c>
    </row>
    <row r="4670" spans="1:10" x14ac:dyDescent="0.2">
      <c r="A4670" t="str">
        <f>"19/09/2005"</f>
        <v>19/09/2005</v>
      </c>
      <c r="B4670">
        <v>1</v>
      </c>
      <c r="C4670">
        <v>8000</v>
      </c>
      <c r="D4670">
        <v>27900</v>
      </c>
      <c r="E4670">
        <v>8000</v>
      </c>
      <c r="F4670">
        <v>8000</v>
      </c>
      <c r="G4670" s="1">
        <v>3.5000000000000003E-2</v>
      </c>
      <c r="H4670" s="1">
        <v>3.5000000000000003E-2</v>
      </c>
      <c r="I4670" s="1">
        <v>3.5000000000000003E-2</v>
      </c>
      <c r="J4670" s="1">
        <v>0.28289999999999998</v>
      </c>
    </row>
    <row r="4671" spans="1:10" x14ac:dyDescent="0.2">
      <c r="A4671" t="str">
        <f>"18/09/2005"</f>
        <v>18/09/2005</v>
      </c>
      <c r="B4671">
        <v>1</v>
      </c>
      <c r="C4671">
        <v>9500</v>
      </c>
      <c r="D4671">
        <v>31000</v>
      </c>
      <c r="E4671">
        <v>9500</v>
      </c>
      <c r="F4671">
        <v>9500</v>
      </c>
      <c r="G4671" s="1">
        <v>3.5000000000000003E-2</v>
      </c>
      <c r="H4671" s="1">
        <v>3.5000000000000003E-2</v>
      </c>
      <c r="I4671" s="1">
        <v>3.5000000000000003E-2</v>
      </c>
      <c r="J4671" s="1">
        <v>0.29970000000000002</v>
      </c>
    </row>
    <row r="4672" spans="1:10" x14ac:dyDescent="0.2">
      <c r="A4672" t="str">
        <f>"15/09/2005"</f>
        <v>15/09/2005</v>
      </c>
      <c r="B4672">
        <v>3</v>
      </c>
      <c r="C4672">
        <v>9500</v>
      </c>
      <c r="D4672">
        <v>22350</v>
      </c>
      <c r="E4672">
        <v>9500</v>
      </c>
      <c r="F4672">
        <v>9500</v>
      </c>
      <c r="G4672" s="1">
        <v>3.5000000000000003E-2</v>
      </c>
      <c r="H4672" s="1">
        <v>3.5000000000000003E-2</v>
      </c>
      <c r="I4672" s="1">
        <v>3.5000000000000003E-2</v>
      </c>
      <c r="J4672" s="1">
        <v>0.37619999999999998</v>
      </c>
    </row>
    <row r="4673" spans="1:10" x14ac:dyDescent="0.2">
      <c r="A4673" t="str">
        <f>"15/09/2005"</f>
        <v>15/09/2005</v>
      </c>
      <c r="B4673">
        <v>1</v>
      </c>
      <c r="C4673">
        <v>6000</v>
      </c>
      <c r="D4673">
        <v>7700</v>
      </c>
      <c r="E4673">
        <v>6000</v>
      </c>
      <c r="F4673">
        <v>6000</v>
      </c>
      <c r="G4673" s="1">
        <v>3.5000000000000003E-2</v>
      </c>
      <c r="H4673" s="1">
        <v>3.5000000000000003E-2</v>
      </c>
      <c r="I4673" s="1">
        <v>3.5000000000000003E-2</v>
      </c>
      <c r="J4673" s="1">
        <v>0.7792</v>
      </c>
    </row>
    <row r="4674" spans="1:10" x14ac:dyDescent="0.2">
      <c r="A4674" t="str">
        <f>"14/09/2005"</f>
        <v>14/09/2005</v>
      </c>
      <c r="B4674">
        <v>1</v>
      </c>
      <c r="C4674">
        <v>9500</v>
      </c>
      <c r="D4674">
        <v>20280</v>
      </c>
      <c r="E4674">
        <v>9500</v>
      </c>
      <c r="F4674">
        <v>9500</v>
      </c>
      <c r="G4674" s="1">
        <v>3.5000000000000003E-2</v>
      </c>
      <c r="H4674" s="1">
        <v>3.5000000000000003E-2</v>
      </c>
      <c r="I4674" s="1">
        <v>3.5000000000000003E-2</v>
      </c>
      <c r="J4674" s="1">
        <v>0.46629999999999999</v>
      </c>
    </row>
    <row r="4675" spans="1:10" x14ac:dyDescent="0.2">
      <c r="A4675" t="str">
        <f>"13/09/2005"</f>
        <v>13/09/2005</v>
      </c>
      <c r="B4675">
        <v>1</v>
      </c>
      <c r="C4675">
        <v>9500</v>
      </c>
      <c r="D4675">
        <v>25530</v>
      </c>
      <c r="E4675">
        <v>9500</v>
      </c>
      <c r="F4675">
        <v>9500</v>
      </c>
      <c r="G4675" s="1">
        <v>3.5000000000000003E-2</v>
      </c>
      <c r="H4675" s="1">
        <v>3.5000000000000003E-2</v>
      </c>
      <c r="I4675" s="1">
        <v>3.5000000000000003E-2</v>
      </c>
      <c r="J4675" s="1">
        <v>0.36959999999999998</v>
      </c>
    </row>
    <row r="4676" spans="1:10" x14ac:dyDescent="0.2">
      <c r="A4676" t="str">
        <f>"12/09/2005"</f>
        <v>12/09/2005</v>
      </c>
      <c r="B4676">
        <v>1</v>
      </c>
      <c r="C4676">
        <v>9500</v>
      </c>
      <c r="D4676">
        <v>30970</v>
      </c>
      <c r="E4676">
        <v>9500</v>
      </c>
      <c r="F4676">
        <v>9500</v>
      </c>
      <c r="G4676" s="1">
        <v>3.5000000000000003E-2</v>
      </c>
      <c r="H4676" s="1">
        <v>3.5000000000000003E-2</v>
      </c>
      <c r="I4676" s="1">
        <v>3.5000000000000003E-2</v>
      </c>
      <c r="J4676" s="1">
        <v>0.30449999999999999</v>
      </c>
    </row>
    <row r="4677" spans="1:10" x14ac:dyDescent="0.2">
      <c r="A4677" t="str">
        <f>"11/09/2005"</f>
        <v>11/09/2005</v>
      </c>
      <c r="B4677">
        <v>1</v>
      </c>
      <c r="C4677">
        <v>9000</v>
      </c>
      <c r="D4677">
        <v>35270</v>
      </c>
      <c r="E4677">
        <v>9000</v>
      </c>
      <c r="F4677">
        <v>9000</v>
      </c>
      <c r="G4677" s="1">
        <v>3.5000000000000003E-2</v>
      </c>
      <c r="H4677" s="1">
        <v>3.5000000000000003E-2</v>
      </c>
      <c r="I4677" s="1">
        <v>3.5000000000000003E-2</v>
      </c>
      <c r="J4677" s="1">
        <v>0.25309999999999999</v>
      </c>
    </row>
    <row r="4678" spans="1:10" x14ac:dyDescent="0.2">
      <c r="A4678" t="str">
        <f>"08/09/2005"</f>
        <v>08/09/2005</v>
      </c>
      <c r="B4678">
        <v>3</v>
      </c>
      <c r="C4678">
        <v>9000</v>
      </c>
      <c r="D4678">
        <v>33915</v>
      </c>
      <c r="E4678">
        <v>9000</v>
      </c>
      <c r="F4678">
        <v>9000</v>
      </c>
      <c r="G4678" s="1">
        <v>3.5000000000000003E-2</v>
      </c>
      <c r="H4678" s="1">
        <v>3.5000000000000003E-2</v>
      </c>
      <c r="I4678" s="1">
        <v>3.5000000000000003E-2</v>
      </c>
      <c r="J4678" s="1">
        <v>0.26319999999999999</v>
      </c>
    </row>
    <row r="4679" spans="1:10" x14ac:dyDescent="0.2">
      <c r="A4679" t="str">
        <f>"07/09/2005"</f>
        <v>07/09/2005</v>
      </c>
      <c r="B4679">
        <v>1</v>
      </c>
      <c r="C4679">
        <v>11000</v>
      </c>
      <c r="D4679">
        <v>42980</v>
      </c>
      <c r="E4679">
        <v>11000</v>
      </c>
      <c r="F4679">
        <v>11000</v>
      </c>
      <c r="G4679" s="1">
        <v>3.5000000000000003E-2</v>
      </c>
      <c r="H4679" s="1">
        <v>3.5000000000000003E-2</v>
      </c>
      <c r="I4679" s="1">
        <v>3.5000000000000003E-2</v>
      </c>
      <c r="J4679" s="1">
        <v>0.25419999999999998</v>
      </c>
    </row>
    <row r="4680" spans="1:10" x14ac:dyDescent="0.2">
      <c r="A4680" t="str">
        <f>"06/09/2005"</f>
        <v>06/09/2005</v>
      </c>
      <c r="B4680">
        <v>1</v>
      </c>
      <c r="C4680">
        <v>7500</v>
      </c>
      <c r="D4680">
        <v>27920</v>
      </c>
      <c r="E4680">
        <v>7500</v>
      </c>
      <c r="F4680">
        <v>7500</v>
      </c>
      <c r="G4680" s="1">
        <v>3.5000000000000003E-2</v>
      </c>
      <c r="H4680" s="1">
        <v>3.5000000000000003E-2</v>
      </c>
      <c r="I4680" s="1">
        <v>3.5000000000000003E-2</v>
      </c>
      <c r="J4680" s="1">
        <v>0.26550000000000001</v>
      </c>
    </row>
    <row r="4681" spans="1:10" x14ac:dyDescent="0.2">
      <c r="A4681" t="str">
        <f>"05/09/2005"</f>
        <v>05/09/2005</v>
      </c>
      <c r="B4681">
        <v>1</v>
      </c>
      <c r="C4681">
        <v>7000</v>
      </c>
      <c r="D4681">
        <v>34290</v>
      </c>
      <c r="E4681">
        <v>7000</v>
      </c>
      <c r="F4681">
        <v>7000</v>
      </c>
      <c r="G4681" s="1">
        <v>3.5000000000000003E-2</v>
      </c>
      <c r="H4681" s="1">
        <v>3.5000000000000003E-2</v>
      </c>
      <c r="I4681" s="1">
        <v>3.5000000000000003E-2</v>
      </c>
      <c r="J4681" s="1">
        <v>0.20200000000000001</v>
      </c>
    </row>
    <row r="4682" spans="1:10" x14ac:dyDescent="0.2">
      <c r="A4682" t="str">
        <f>"04/09/2005"</f>
        <v>04/09/2005</v>
      </c>
      <c r="B4682">
        <v>1</v>
      </c>
      <c r="C4682">
        <v>6000</v>
      </c>
      <c r="D4682">
        <v>30415</v>
      </c>
      <c r="E4682">
        <v>6000</v>
      </c>
      <c r="F4682">
        <v>6000</v>
      </c>
      <c r="G4682" s="1">
        <v>3.5000000000000003E-2</v>
      </c>
      <c r="H4682" s="1">
        <v>3.5000000000000003E-2</v>
      </c>
      <c r="I4682" s="1">
        <v>3.5000000000000003E-2</v>
      </c>
      <c r="J4682" s="1">
        <v>0.19420000000000001</v>
      </c>
    </row>
    <row r="4683" spans="1:10" x14ac:dyDescent="0.2">
      <c r="A4683" t="str">
        <f>"01/09/2005"</f>
        <v>01/09/2005</v>
      </c>
      <c r="B4683">
        <v>3</v>
      </c>
      <c r="C4683">
        <v>7000</v>
      </c>
      <c r="D4683">
        <v>23700</v>
      </c>
      <c r="E4683">
        <v>7000</v>
      </c>
      <c r="F4683">
        <v>7000</v>
      </c>
      <c r="G4683" s="1">
        <v>3.5000000000000003E-2</v>
      </c>
      <c r="H4683" s="1">
        <v>3.5000000000000003E-2</v>
      </c>
      <c r="I4683" s="1">
        <v>3.5000000000000003E-2</v>
      </c>
      <c r="J4683" s="1">
        <v>0.29389999999999999</v>
      </c>
    </row>
    <row r="4684" spans="1:10" x14ac:dyDescent="0.2">
      <c r="A4684" t="str">
        <f>"31/08/2005"</f>
        <v>31/08/2005</v>
      </c>
      <c r="B4684">
        <v>1</v>
      </c>
      <c r="C4684">
        <v>10000</v>
      </c>
      <c r="D4684">
        <v>7880</v>
      </c>
      <c r="E4684">
        <v>7880</v>
      </c>
      <c r="F4684">
        <v>7880</v>
      </c>
      <c r="G4684" s="1">
        <v>3.5000000000000003E-2</v>
      </c>
      <c r="H4684" s="1">
        <v>3.5000000000000003E-2</v>
      </c>
      <c r="I4684" s="1">
        <v>3.5000000000000003E-2</v>
      </c>
      <c r="J4684" s="1">
        <v>1</v>
      </c>
    </row>
    <row r="4685" spans="1:10" x14ac:dyDescent="0.2">
      <c r="A4685" t="str">
        <f>"30/08/2005"</f>
        <v>30/08/2005</v>
      </c>
      <c r="B4685">
        <v>1</v>
      </c>
      <c r="C4685">
        <v>8500</v>
      </c>
      <c r="D4685">
        <v>24260</v>
      </c>
      <c r="E4685">
        <v>8500</v>
      </c>
      <c r="F4685">
        <v>8500</v>
      </c>
      <c r="G4685" s="1">
        <v>3.5000000000000003E-2</v>
      </c>
      <c r="H4685" s="1">
        <v>3.5000000000000003E-2</v>
      </c>
      <c r="I4685" s="1">
        <v>3.5000000000000003E-2</v>
      </c>
      <c r="J4685" s="1">
        <v>0.34549999999999997</v>
      </c>
    </row>
    <row r="4686" spans="1:10" x14ac:dyDescent="0.2">
      <c r="A4686" t="str">
        <f>"29/08/2005"</f>
        <v>29/08/2005</v>
      </c>
      <c r="B4686">
        <v>1</v>
      </c>
      <c r="C4686">
        <v>8500</v>
      </c>
      <c r="D4686">
        <v>25110</v>
      </c>
      <c r="E4686">
        <v>8500</v>
      </c>
      <c r="F4686">
        <v>8500</v>
      </c>
      <c r="G4686" s="1">
        <v>3.5000000000000003E-2</v>
      </c>
      <c r="H4686" s="1">
        <v>3.5000000000000003E-2</v>
      </c>
      <c r="I4686" s="1">
        <v>3.5000000000000003E-2</v>
      </c>
      <c r="J4686" s="1">
        <v>0.3332</v>
      </c>
    </row>
    <row r="4687" spans="1:10" x14ac:dyDescent="0.2">
      <c r="A4687" t="str">
        <f>"28/08/2005"</f>
        <v>28/08/2005</v>
      </c>
      <c r="B4687">
        <v>1</v>
      </c>
      <c r="C4687">
        <v>8000</v>
      </c>
      <c r="D4687">
        <v>25010</v>
      </c>
      <c r="E4687">
        <v>8000</v>
      </c>
      <c r="F4687">
        <v>8000</v>
      </c>
      <c r="G4687" s="1">
        <v>3.5000000000000003E-2</v>
      </c>
      <c r="H4687" s="1">
        <v>3.5000000000000003E-2</v>
      </c>
      <c r="I4687" s="1">
        <v>3.5000000000000003E-2</v>
      </c>
      <c r="J4687" s="1">
        <v>0.28710000000000002</v>
      </c>
    </row>
    <row r="4688" spans="1:10" x14ac:dyDescent="0.2">
      <c r="A4688" t="str">
        <f>"25/08/2005"</f>
        <v>25/08/2005</v>
      </c>
      <c r="B4688">
        <v>3</v>
      </c>
      <c r="C4688">
        <v>6000</v>
      </c>
      <c r="D4688">
        <v>20160</v>
      </c>
      <c r="E4688">
        <v>6000</v>
      </c>
      <c r="F4688">
        <v>6000</v>
      </c>
      <c r="G4688" s="1">
        <v>3.5000000000000003E-2</v>
      </c>
      <c r="H4688" s="1">
        <v>3.5000000000000003E-2</v>
      </c>
      <c r="I4688" s="1">
        <v>3.5000000000000003E-2</v>
      </c>
      <c r="J4688" s="1">
        <v>0.2913</v>
      </c>
    </row>
    <row r="4689" spans="1:10" x14ac:dyDescent="0.2">
      <c r="A4689" t="str">
        <f>"24/08/2005"</f>
        <v>24/08/2005</v>
      </c>
      <c r="B4689">
        <v>1</v>
      </c>
      <c r="C4689">
        <v>6000</v>
      </c>
      <c r="D4689">
        <v>19300</v>
      </c>
      <c r="E4689">
        <v>6000</v>
      </c>
      <c r="F4689">
        <v>6000</v>
      </c>
      <c r="G4689" s="1">
        <v>3.5000000000000003E-2</v>
      </c>
      <c r="H4689" s="1">
        <v>3.5000000000000003E-2</v>
      </c>
      <c r="I4689" s="1">
        <v>3.5000000000000003E-2</v>
      </c>
      <c r="J4689" s="1">
        <v>0.30549999999999999</v>
      </c>
    </row>
    <row r="4690" spans="1:10" x14ac:dyDescent="0.2">
      <c r="A4690" t="str">
        <f>"23/08/2005"</f>
        <v>23/08/2005</v>
      </c>
      <c r="B4690">
        <v>1</v>
      </c>
      <c r="C4690">
        <v>6000</v>
      </c>
      <c r="D4690">
        <v>20130</v>
      </c>
      <c r="E4690">
        <v>6000</v>
      </c>
      <c r="F4690">
        <v>6000</v>
      </c>
      <c r="G4690" s="1">
        <v>3.5000000000000003E-2</v>
      </c>
      <c r="H4690" s="1">
        <v>3.5000000000000003E-2</v>
      </c>
      <c r="I4690" s="1">
        <v>3.5000000000000003E-2</v>
      </c>
      <c r="J4690" s="1">
        <v>0.2928</v>
      </c>
    </row>
    <row r="4691" spans="1:10" x14ac:dyDescent="0.2">
      <c r="A4691" t="str">
        <f>"22/08/2005"</f>
        <v>22/08/2005</v>
      </c>
      <c r="B4691">
        <v>1</v>
      </c>
      <c r="C4691">
        <v>6000</v>
      </c>
      <c r="D4691">
        <v>19550</v>
      </c>
      <c r="E4691">
        <v>6000</v>
      </c>
      <c r="F4691">
        <v>6000</v>
      </c>
      <c r="G4691" s="1">
        <v>3.5000000000000003E-2</v>
      </c>
      <c r="H4691" s="1">
        <v>3.5000000000000003E-2</v>
      </c>
      <c r="I4691" s="1">
        <v>3.5000000000000003E-2</v>
      </c>
      <c r="J4691" s="1">
        <v>0.30149999999999999</v>
      </c>
    </row>
    <row r="4692" spans="1:10" x14ac:dyDescent="0.2">
      <c r="A4692" t="str">
        <f>"21/08/2005"</f>
        <v>21/08/2005</v>
      </c>
      <c r="B4692">
        <v>1</v>
      </c>
      <c r="C4692">
        <v>6500</v>
      </c>
      <c r="D4692">
        <v>18320</v>
      </c>
      <c r="E4692">
        <v>6500</v>
      </c>
      <c r="F4692">
        <v>6500</v>
      </c>
      <c r="G4692" s="1">
        <v>3.5000000000000003E-2</v>
      </c>
      <c r="H4692" s="1">
        <v>3.5000000000000003E-2</v>
      </c>
      <c r="I4692" s="1">
        <v>3.5000000000000003E-2</v>
      </c>
      <c r="J4692" s="1">
        <v>0.34949999999999998</v>
      </c>
    </row>
    <row r="4693" spans="1:10" x14ac:dyDescent="0.2">
      <c r="A4693" t="str">
        <f>"18/08/2005"</f>
        <v>18/08/2005</v>
      </c>
      <c r="B4693">
        <v>3</v>
      </c>
      <c r="C4693">
        <v>6500</v>
      </c>
      <c r="D4693">
        <v>15085</v>
      </c>
      <c r="E4693">
        <v>6500</v>
      </c>
      <c r="F4693">
        <v>6500</v>
      </c>
      <c r="G4693" s="1">
        <v>3.5000000000000003E-2</v>
      </c>
      <c r="H4693" s="1">
        <v>3.5000000000000003E-2</v>
      </c>
      <c r="I4693" s="1">
        <v>3.5000000000000003E-2</v>
      </c>
      <c r="J4693" s="1">
        <v>0.42520000000000002</v>
      </c>
    </row>
    <row r="4694" spans="1:10" x14ac:dyDescent="0.2">
      <c r="A4694" t="str">
        <f>"17/08/2005"</f>
        <v>17/08/2005</v>
      </c>
      <c r="B4694">
        <v>1</v>
      </c>
      <c r="C4694">
        <v>3500</v>
      </c>
      <c r="D4694">
        <v>8400</v>
      </c>
      <c r="E4694">
        <v>3500</v>
      </c>
      <c r="F4694">
        <v>3500</v>
      </c>
      <c r="G4694" s="1">
        <v>3.5000000000000003E-2</v>
      </c>
      <c r="H4694" s="1">
        <v>3.5000000000000003E-2</v>
      </c>
      <c r="I4694" s="1">
        <v>3.5000000000000003E-2</v>
      </c>
      <c r="J4694" s="1">
        <v>0.41110000000000002</v>
      </c>
    </row>
    <row r="4695" spans="1:10" x14ac:dyDescent="0.2">
      <c r="A4695" t="str">
        <f>"16/08/2005"</f>
        <v>16/08/2005</v>
      </c>
      <c r="B4695">
        <v>1</v>
      </c>
      <c r="C4695">
        <v>7000</v>
      </c>
      <c r="D4695">
        <v>15050</v>
      </c>
      <c r="E4695">
        <v>7000</v>
      </c>
      <c r="F4695">
        <v>7000</v>
      </c>
      <c r="G4695" s="1">
        <v>3.5000000000000003E-2</v>
      </c>
      <c r="H4695" s="1">
        <v>3.5000000000000003E-2</v>
      </c>
      <c r="I4695" s="1">
        <v>3.5000000000000003E-2</v>
      </c>
      <c r="J4695" s="1">
        <v>0.46150000000000002</v>
      </c>
    </row>
    <row r="4696" spans="1:10" x14ac:dyDescent="0.2">
      <c r="A4696" t="str">
        <f>"15/08/2005"</f>
        <v>15/08/2005</v>
      </c>
      <c r="B4696">
        <v>1</v>
      </c>
      <c r="C4696">
        <v>12000</v>
      </c>
      <c r="D4696">
        <v>43810</v>
      </c>
      <c r="E4696">
        <v>12000</v>
      </c>
      <c r="F4696">
        <v>12000</v>
      </c>
      <c r="G4696" s="1">
        <v>3.5000000000000003E-2</v>
      </c>
      <c r="H4696" s="1">
        <v>3.5000000000000003E-2</v>
      </c>
      <c r="I4696" s="1">
        <v>3.5000000000000003E-2</v>
      </c>
      <c r="J4696" s="1">
        <v>0.2722</v>
      </c>
    </row>
    <row r="4697" spans="1:10" x14ac:dyDescent="0.2">
      <c r="A4697" t="str">
        <f>"11/08/2005"</f>
        <v>11/08/2005</v>
      </c>
      <c r="B4697">
        <v>4</v>
      </c>
      <c r="C4697">
        <v>14000</v>
      </c>
      <c r="D4697">
        <v>42260</v>
      </c>
      <c r="E4697">
        <v>14000</v>
      </c>
      <c r="F4697">
        <v>14000</v>
      </c>
      <c r="G4697" s="1">
        <v>3.5000000000000003E-2</v>
      </c>
      <c r="H4697" s="1">
        <v>3.5000000000000003E-2</v>
      </c>
      <c r="I4697" s="1">
        <v>3.5000000000000003E-2</v>
      </c>
      <c r="J4697" s="1">
        <v>0.32890000000000003</v>
      </c>
    </row>
    <row r="4698" spans="1:10" x14ac:dyDescent="0.2">
      <c r="A4698" t="str">
        <f>"10/08/2005"</f>
        <v>10/08/2005</v>
      </c>
      <c r="B4698">
        <v>1</v>
      </c>
      <c r="C4698">
        <v>11000</v>
      </c>
      <c r="D4698">
        <v>32480</v>
      </c>
      <c r="E4698">
        <v>11000</v>
      </c>
      <c r="F4698">
        <v>11000</v>
      </c>
      <c r="G4698" s="1">
        <v>3.5000000000000003E-2</v>
      </c>
      <c r="H4698" s="1">
        <v>3.5000000000000003E-2</v>
      </c>
      <c r="I4698" s="1">
        <v>3.5000000000000003E-2</v>
      </c>
      <c r="J4698" s="1">
        <v>0.33560000000000001</v>
      </c>
    </row>
    <row r="4699" spans="1:10" x14ac:dyDescent="0.2">
      <c r="A4699" t="str">
        <f>"09/08/2005"</f>
        <v>09/08/2005</v>
      </c>
      <c r="B4699">
        <v>1</v>
      </c>
      <c r="C4699">
        <v>11000</v>
      </c>
      <c r="D4699">
        <v>34380</v>
      </c>
      <c r="E4699">
        <v>11000</v>
      </c>
      <c r="F4699">
        <v>11000</v>
      </c>
      <c r="G4699" s="1">
        <v>3.5000000000000003E-2</v>
      </c>
      <c r="H4699" s="1">
        <v>3.5000000000000003E-2</v>
      </c>
      <c r="I4699" s="1">
        <v>3.5000000000000003E-2</v>
      </c>
      <c r="J4699" s="1">
        <v>0.317</v>
      </c>
    </row>
    <row r="4700" spans="1:10" x14ac:dyDescent="0.2">
      <c r="A4700" t="str">
        <f>"08/08/2005"</f>
        <v>08/08/2005</v>
      </c>
      <c r="B4700">
        <v>1</v>
      </c>
      <c r="C4700">
        <v>11000</v>
      </c>
      <c r="D4700">
        <v>35200</v>
      </c>
      <c r="E4700">
        <v>11000</v>
      </c>
      <c r="F4700">
        <v>11000</v>
      </c>
      <c r="G4700" s="1">
        <v>3.5000000000000003E-2</v>
      </c>
      <c r="H4700" s="1">
        <v>3.5000000000000003E-2</v>
      </c>
      <c r="I4700" s="1">
        <v>3.5000000000000003E-2</v>
      </c>
      <c r="J4700" s="1">
        <v>0.30959999999999999</v>
      </c>
    </row>
    <row r="4701" spans="1:10" x14ac:dyDescent="0.2">
      <c r="A4701" t="str">
        <f>"07/08/2005"</f>
        <v>07/08/2005</v>
      </c>
      <c r="B4701">
        <v>1</v>
      </c>
      <c r="C4701">
        <v>11500</v>
      </c>
      <c r="D4701">
        <v>36320</v>
      </c>
      <c r="E4701">
        <v>11500</v>
      </c>
      <c r="F4701">
        <v>11500</v>
      </c>
      <c r="G4701" s="1">
        <v>3.5000000000000003E-2</v>
      </c>
      <c r="H4701" s="1">
        <v>3.5000000000000003E-2</v>
      </c>
      <c r="I4701" s="1">
        <v>3.5000000000000003E-2</v>
      </c>
      <c r="J4701" s="1">
        <v>0.31659999999999999</v>
      </c>
    </row>
    <row r="4702" spans="1:10" x14ac:dyDescent="0.2">
      <c r="A4702" t="str">
        <f>"04/08/2005"</f>
        <v>04/08/2005</v>
      </c>
      <c r="B4702">
        <v>3</v>
      </c>
      <c r="C4702">
        <v>11000</v>
      </c>
      <c r="D4702">
        <v>30410</v>
      </c>
      <c r="E4702">
        <v>11000</v>
      </c>
      <c r="F4702">
        <v>11000</v>
      </c>
      <c r="G4702" s="1">
        <v>3.5000000000000003E-2</v>
      </c>
      <c r="H4702" s="1">
        <v>3.5000000000000003E-2</v>
      </c>
      <c r="I4702" s="1">
        <v>3.5000000000000003E-2</v>
      </c>
      <c r="J4702" s="1">
        <v>0.36170000000000002</v>
      </c>
    </row>
    <row r="4703" spans="1:10" x14ac:dyDescent="0.2">
      <c r="A4703" t="str">
        <f>"03/08/2005"</f>
        <v>03/08/2005</v>
      </c>
      <c r="B4703">
        <v>1</v>
      </c>
      <c r="C4703">
        <v>14500</v>
      </c>
      <c r="D4703">
        <v>41800</v>
      </c>
      <c r="E4703">
        <v>14500</v>
      </c>
      <c r="F4703">
        <v>14500</v>
      </c>
      <c r="G4703" s="1">
        <v>3.5000000000000003E-2</v>
      </c>
      <c r="H4703" s="1">
        <v>3.5000000000000003E-2</v>
      </c>
      <c r="I4703" s="1">
        <v>3.5000000000000003E-2</v>
      </c>
      <c r="J4703" s="1">
        <v>0.34689999999999999</v>
      </c>
    </row>
    <row r="4704" spans="1:10" x14ac:dyDescent="0.2">
      <c r="A4704" t="str">
        <f>"02/08/2005"</f>
        <v>02/08/2005</v>
      </c>
      <c r="B4704">
        <v>1</v>
      </c>
      <c r="C4704">
        <v>11500</v>
      </c>
      <c r="D4704">
        <v>41300</v>
      </c>
      <c r="E4704">
        <v>11500</v>
      </c>
      <c r="F4704">
        <v>11500</v>
      </c>
      <c r="G4704" s="1">
        <v>3.5000000000000003E-2</v>
      </c>
      <c r="H4704" s="1">
        <v>3.5000000000000003E-2</v>
      </c>
      <c r="I4704" s="1">
        <v>3.5000000000000003E-2</v>
      </c>
      <c r="J4704" s="1">
        <v>0.27850000000000003</v>
      </c>
    </row>
    <row r="4705" spans="1:10" x14ac:dyDescent="0.2">
      <c r="A4705" t="str">
        <f>"01/08/2005"</f>
        <v>01/08/2005</v>
      </c>
      <c r="B4705">
        <v>1</v>
      </c>
      <c r="C4705">
        <v>10000</v>
      </c>
      <c r="D4705">
        <v>35350</v>
      </c>
      <c r="E4705">
        <v>10000</v>
      </c>
      <c r="F4705">
        <v>10000</v>
      </c>
      <c r="G4705" s="1">
        <v>3.5000000000000003E-2</v>
      </c>
      <c r="H4705" s="1">
        <v>3.5000000000000003E-2</v>
      </c>
      <c r="I4705" s="1">
        <v>3.5000000000000003E-2</v>
      </c>
      <c r="J4705" s="1">
        <v>0.26519999999999999</v>
      </c>
    </row>
    <row r="4706" spans="1:10" x14ac:dyDescent="0.2">
      <c r="A4706" t="str">
        <f>"31/07/2005"</f>
        <v>31/07/2005</v>
      </c>
      <c r="B4706">
        <v>1</v>
      </c>
      <c r="C4706">
        <v>6500</v>
      </c>
      <c r="D4706">
        <v>13995</v>
      </c>
      <c r="E4706">
        <v>6500</v>
      </c>
      <c r="F4706">
        <v>6500</v>
      </c>
      <c r="G4706" s="1">
        <v>3.5000000000000003E-2</v>
      </c>
      <c r="H4706" s="1">
        <v>3.5000000000000003E-2</v>
      </c>
      <c r="I4706" s="1">
        <v>3.5000000000000003E-2</v>
      </c>
      <c r="J4706" s="1">
        <v>0.4002</v>
      </c>
    </row>
    <row r="4707" spans="1:10" x14ac:dyDescent="0.2">
      <c r="A4707" t="str">
        <f>"28/07/2005"</f>
        <v>28/07/2005</v>
      </c>
      <c r="B4707">
        <v>3</v>
      </c>
      <c r="C4707">
        <v>6000</v>
      </c>
      <c r="D4707">
        <v>17910</v>
      </c>
      <c r="E4707">
        <v>6000</v>
      </c>
      <c r="F4707">
        <v>6000</v>
      </c>
      <c r="G4707" s="1">
        <v>3.5000000000000003E-2</v>
      </c>
      <c r="H4707" s="1">
        <v>3.5000000000000003E-2</v>
      </c>
      <c r="I4707" s="1">
        <v>3.5000000000000003E-2</v>
      </c>
      <c r="J4707" s="1">
        <v>0.26750000000000002</v>
      </c>
    </row>
    <row r="4708" spans="1:10" x14ac:dyDescent="0.2">
      <c r="A4708" t="str">
        <f>"27/07/2005"</f>
        <v>27/07/2005</v>
      </c>
      <c r="B4708">
        <v>1</v>
      </c>
      <c r="C4708">
        <v>3200</v>
      </c>
      <c r="D4708">
        <v>1120</v>
      </c>
      <c r="E4708">
        <v>1120</v>
      </c>
      <c r="F4708">
        <v>1120</v>
      </c>
      <c r="G4708" s="1">
        <v>3.5000000000000003E-2</v>
      </c>
      <c r="H4708" s="1">
        <v>3.5000000000000003E-2</v>
      </c>
      <c r="I4708" s="1">
        <v>3.5000000000000003E-2</v>
      </c>
      <c r="J4708" s="1">
        <v>1</v>
      </c>
    </row>
    <row r="4709" spans="1:10" x14ac:dyDescent="0.2">
      <c r="A4709" t="str">
        <f>"26/07/2005"</f>
        <v>26/07/2005</v>
      </c>
      <c r="B4709">
        <v>1</v>
      </c>
      <c r="C4709">
        <v>4500</v>
      </c>
      <c r="D4709">
        <v>9290</v>
      </c>
      <c r="E4709">
        <v>4500</v>
      </c>
      <c r="F4709">
        <v>4500</v>
      </c>
      <c r="G4709" s="1">
        <v>3.5000000000000003E-2</v>
      </c>
      <c r="H4709" s="1">
        <v>3.5000000000000003E-2</v>
      </c>
      <c r="I4709" s="1">
        <v>3.5000000000000003E-2</v>
      </c>
      <c r="J4709" s="1">
        <v>0.3755</v>
      </c>
    </row>
    <row r="4710" spans="1:10" x14ac:dyDescent="0.2">
      <c r="A4710" t="str">
        <f>"25/07/2005"</f>
        <v>25/07/2005</v>
      </c>
      <c r="B4710">
        <v>1</v>
      </c>
      <c r="C4710">
        <v>3000</v>
      </c>
      <c r="D4710">
        <v>7700</v>
      </c>
      <c r="E4710">
        <v>3000</v>
      </c>
      <c r="F4710">
        <v>3000</v>
      </c>
      <c r="G4710" s="1">
        <v>3.5000000000000003E-2</v>
      </c>
      <c r="H4710" s="1">
        <v>3.5000000000000003E-2</v>
      </c>
      <c r="I4710" s="1">
        <v>3.5000000000000003E-2</v>
      </c>
      <c r="J4710" s="1">
        <v>0.26219999999999999</v>
      </c>
    </row>
    <row r="4711" spans="1:10" x14ac:dyDescent="0.2">
      <c r="A4711" t="str">
        <f>"24/07/2005"</f>
        <v>24/07/2005</v>
      </c>
      <c r="B4711">
        <v>1</v>
      </c>
      <c r="C4711">
        <v>3000</v>
      </c>
      <c r="D4711">
        <v>5360</v>
      </c>
      <c r="E4711">
        <v>3000</v>
      </c>
      <c r="F4711">
        <v>3000</v>
      </c>
      <c r="G4711" s="1">
        <v>3.5000000000000003E-2</v>
      </c>
      <c r="H4711" s="1">
        <v>3.49E-2</v>
      </c>
      <c r="I4711" s="1">
        <v>3.49E-2</v>
      </c>
      <c r="J4711" s="1">
        <v>0.21329999999999999</v>
      </c>
    </row>
    <row r="4712" spans="1:10" x14ac:dyDescent="0.2">
      <c r="A4712" t="str">
        <f>"21/07/2005"</f>
        <v>21/07/2005</v>
      </c>
      <c r="B4712">
        <v>3</v>
      </c>
      <c r="C4712">
        <v>4000</v>
      </c>
      <c r="D4712">
        <v>5070</v>
      </c>
      <c r="E4712">
        <v>4000</v>
      </c>
      <c r="F4712">
        <v>4000</v>
      </c>
      <c r="G4712" s="1">
        <v>3.5000000000000003E-2</v>
      </c>
      <c r="H4712" s="1">
        <v>3.5000000000000003E-2</v>
      </c>
      <c r="I4712" s="1">
        <v>3.5000000000000003E-2</v>
      </c>
      <c r="J4712" s="1">
        <v>0.69599999999999995</v>
      </c>
    </row>
    <row r="4713" spans="1:10" x14ac:dyDescent="0.2">
      <c r="A4713" t="str">
        <f>"20/07/2005"</f>
        <v>20/07/2005</v>
      </c>
      <c r="B4713">
        <v>1</v>
      </c>
      <c r="C4713">
        <v>4000</v>
      </c>
      <c r="D4713">
        <v>17200</v>
      </c>
      <c r="E4713">
        <v>4000</v>
      </c>
      <c r="F4713">
        <v>4000</v>
      </c>
      <c r="G4713" s="1">
        <v>3.5000000000000003E-2</v>
      </c>
      <c r="H4713" s="1">
        <v>3.49E-2</v>
      </c>
      <c r="I4713" s="1">
        <v>3.49E-2</v>
      </c>
      <c r="J4713" s="1">
        <v>0.12870000000000001</v>
      </c>
    </row>
    <row r="4714" spans="1:10" x14ac:dyDescent="0.2">
      <c r="A4714" t="str">
        <f>"19/07/2005"</f>
        <v>19/07/2005</v>
      </c>
      <c r="B4714">
        <v>1</v>
      </c>
      <c r="C4714">
        <v>5500</v>
      </c>
      <c r="D4714">
        <v>23970</v>
      </c>
      <c r="E4714">
        <v>5500</v>
      </c>
      <c r="F4714">
        <v>5500</v>
      </c>
      <c r="G4714" s="1">
        <v>3.5000000000000003E-2</v>
      </c>
      <c r="H4714" s="1">
        <v>3.5000000000000003E-2</v>
      </c>
      <c r="I4714" s="1">
        <v>3.5000000000000003E-2</v>
      </c>
      <c r="J4714" s="1">
        <v>0.19420000000000001</v>
      </c>
    </row>
    <row r="4715" spans="1:10" x14ac:dyDescent="0.2">
      <c r="A4715" t="str">
        <f>"18/07/2005"</f>
        <v>18/07/2005</v>
      </c>
      <c r="B4715">
        <v>1</v>
      </c>
      <c r="C4715">
        <v>5500</v>
      </c>
      <c r="D4715">
        <v>24520</v>
      </c>
      <c r="E4715">
        <v>5500</v>
      </c>
      <c r="F4715">
        <v>5500</v>
      </c>
      <c r="G4715" s="1">
        <v>3.5000000000000003E-2</v>
      </c>
      <c r="H4715" s="1">
        <v>3.5000000000000003E-2</v>
      </c>
      <c r="I4715" s="1">
        <v>3.5000000000000003E-2</v>
      </c>
      <c r="J4715" s="1">
        <v>0.18959999999999999</v>
      </c>
    </row>
    <row r="4716" spans="1:10" x14ac:dyDescent="0.2">
      <c r="A4716" t="str">
        <f>"17/07/2005"</f>
        <v>17/07/2005</v>
      </c>
      <c r="B4716">
        <v>1</v>
      </c>
      <c r="C4716">
        <v>6000</v>
      </c>
      <c r="D4716">
        <v>26400</v>
      </c>
      <c r="E4716">
        <v>6000</v>
      </c>
      <c r="F4716">
        <v>6000</v>
      </c>
      <c r="G4716" s="1">
        <v>3.5000000000000003E-2</v>
      </c>
      <c r="H4716" s="1">
        <v>3.5000000000000003E-2</v>
      </c>
      <c r="I4716" s="1">
        <v>3.5000000000000003E-2</v>
      </c>
      <c r="J4716" s="1">
        <v>0.1953</v>
      </c>
    </row>
    <row r="4717" spans="1:10" x14ac:dyDescent="0.2">
      <c r="A4717" t="str">
        <f>"14/07/2005"</f>
        <v>14/07/2005</v>
      </c>
      <c r="B4717">
        <v>3</v>
      </c>
      <c r="C4717">
        <v>10000</v>
      </c>
      <c r="D4717">
        <v>44050</v>
      </c>
      <c r="E4717">
        <v>10000</v>
      </c>
      <c r="F4717">
        <v>10000</v>
      </c>
      <c r="G4717" s="1">
        <v>3.5000000000000003E-2</v>
      </c>
      <c r="H4717" s="1">
        <v>3.5000000000000003E-2</v>
      </c>
      <c r="I4717" s="1">
        <v>3.5000000000000003E-2</v>
      </c>
      <c r="J4717" s="1">
        <v>0.20910000000000001</v>
      </c>
    </row>
    <row r="4718" spans="1:10" x14ac:dyDescent="0.2">
      <c r="A4718" t="str">
        <f>"13/07/2005"</f>
        <v>13/07/2005</v>
      </c>
      <c r="B4718">
        <v>1</v>
      </c>
      <c r="C4718">
        <v>7000</v>
      </c>
      <c r="D4718">
        <v>21200</v>
      </c>
      <c r="E4718">
        <v>7000</v>
      </c>
      <c r="F4718">
        <v>7000</v>
      </c>
      <c r="G4718" s="1">
        <v>3.5000000000000003E-2</v>
      </c>
      <c r="H4718" s="1">
        <v>3.5000000000000003E-2</v>
      </c>
      <c r="I4718" s="1">
        <v>3.5000000000000003E-2</v>
      </c>
      <c r="J4718" s="1">
        <v>0.33019999999999999</v>
      </c>
    </row>
    <row r="4719" spans="1:10" x14ac:dyDescent="0.2">
      <c r="A4719" t="str">
        <f>"12/07/2005"</f>
        <v>12/07/2005</v>
      </c>
      <c r="B4719">
        <v>1</v>
      </c>
      <c r="C4719">
        <v>7000</v>
      </c>
      <c r="D4719">
        <v>25480</v>
      </c>
      <c r="E4719">
        <v>7000</v>
      </c>
      <c r="F4719">
        <v>7000</v>
      </c>
      <c r="G4719" s="1">
        <v>3.5000000000000003E-2</v>
      </c>
      <c r="H4719" s="1">
        <v>3.5000000000000003E-2</v>
      </c>
      <c r="I4719" s="1">
        <v>3.5000000000000003E-2</v>
      </c>
      <c r="J4719" s="1">
        <v>0.2747</v>
      </c>
    </row>
    <row r="4720" spans="1:10" x14ac:dyDescent="0.2">
      <c r="A4720" t="str">
        <f>"11/07/2005"</f>
        <v>11/07/2005</v>
      </c>
      <c r="B4720">
        <v>1</v>
      </c>
      <c r="C4720">
        <v>6500</v>
      </c>
      <c r="D4720">
        <v>34220</v>
      </c>
      <c r="E4720">
        <v>6500</v>
      </c>
      <c r="F4720">
        <v>6500</v>
      </c>
      <c r="G4720" s="1">
        <v>3.5000000000000003E-2</v>
      </c>
      <c r="H4720" s="1">
        <v>3.5000000000000003E-2</v>
      </c>
      <c r="I4720" s="1">
        <v>3.5000000000000003E-2</v>
      </c>
      <c r="J4720" s="1">
        <v>0.18709999999999999</v>
      </c>
    </row>
    <row r="4721" spans="1:10" x14ac:dyDescent="0.2">
      <c r="A4721" t="str">
        <f>"10/07/2005"</f>
        <v>10/07/2005</v>
      </c>
      <c r="B4721">
        <v>1</v>
      </c>
      <c r="C4721">
        <v>7000</v>
      </c>
      <c r="D4721">
        <v>41710</v>
      </c>
      <c r="E4721">
        <v>7000</v>
      </c>
      <c r="F4721">
        <v>7000</v>
      </c>
      <c r="G4721" s="1">
        <v>3.5000000000000003E-2</v>
      </c>
      <c r="H4721" s="1">
        <v>3.5000000000000003E-2</v>
      </c>
      <c r="I4721" s="1">
        <v>3.5000000000000003E-2</v>
      </c>
      <c r="J4721" s="1">
        <v>0.1646</v>
      </c>
    </row>
    <row r="4722" spans="1:10" x14ac:dyDescent="0.2">
      <c r="A4722" t="str">
        <f>"07/07/2005"</f>
        <v>07/07/2005</v>
      </c>
      <c r="B4722">
        <v>3</v>
      </c>
      <c r="C4722">
        <v>7500</v>
      </c>
      <c r="D4722">
        <v>44220</v>
      </c>
      <c r="E4722">
        <v>7500</v>
      </c>
      <c r="F4722">
        <v>7500</v>
      </c>
      <c r="G4722" s="1">
        <v>3.5000000000000003E-2</v>
      </c>
      <c r="H4722" s="1">
        <v>3.5000000000000003E-2</v>
      </c>
      <c r="I4722" s="1">
        <v>3.5000000000000003E-2</v>
      </c>
      <c r="J4722" s="1">
        <v>0.1673</v>
      </c>
    </row>
    <row r="4723" spans="1:10" x14ac:dyDescent="0.2">
      <c r="A4723" t="str">
        <f>"06/07/2005"</f>
        <v>06/07/2005</v>
      </c>
      <c r="B4723">
        <v>1</v>
      </c>
      <c r="C4723">
        <v>10000</v>
      </c>
      <c r="D4723">
        <v>75100</v>
      </c>
      <c r="E4723">
        <v>10000</v>
      </c>
      <c r="F4723">
        <v>10000</v>
      </c>
      <c r="G4723" s="1">
        <v>3.5000000000000003E-2</v>
      </c>
      <c r="H4723" s="1">
        <v>3.5000000000000003E-2</v>
      </c>
      <c r="I4723" s="1">
        <v>3.5000000000000003E-2</v>
      </c>
      <c r="J4723" s="1">
        <v>0.13200000000000001</v>
      </c>
    </row>
    <row r="4724" spans="1:10" x14ac:dyDescent="0.2">
      <c r="A4724" t="str">
        <f>"05/07/2005"</f>
        <v>05/07/2005</v>
      </c>
      <c r="B4724">
        <v>1</v>
      </c>
      <c r="C4724">
        <v>7000</v>
      </c>
      <c r="D4724">
        <v>66300</v>
      </c>
      <c r="E4724">
        <v>7000</v>
      </c>
      <c r="F4724">
        <v>7000</v>
      </c>
      <c r="G4724" s="1">
        <v>3.5000000000000003E-2</v>
      </c>
      <c r="H4724" s="1">
        <v>3.5000000000000003E-2</v>
      </c>
      <c r="I4724" s="1">
        <v>3.5000000000000003E-2</v>
      </c>
      <c r="J4724" s="1">
        <v>9.74E-2</v>
      </c>
    </row>
    <row r="4725" spans="1:10" x14ac:dyDescent="0.2">
      <c r="A4725" t="str">
        <f>"04/07/2005"</f>
        <v>04/07/2005</v>
      </c>
      <c r="B4725">
        <v>1</v>
      </c>
      <c r="C4725">
        <v>6000</v>
      </c>
      <c r="D4725">
        <v>49550</v>
      </c>
      <c r="E4725">
        <v>6000</v>
      </c>
      <c r="F4725">
        <v>6000</v>
      </c>
      <c r="G4725" s="1">
        <v>3.5000000000000003E-2</v>
      </c>
      <c r="H4725" s="1">
        <v>3.5000000000000003E-2</v>
      </c>
      <c r="I4725" s="1">
        <v>3.5000000000000003E-2</v>
      </c>
      <c r="J4725" s="1">
        <v>0.1067</v>
      </c>
    </row>
    <row r="4726" spans="1:10" x14ac:dyDescent="0.2">
      <c r="A4726" t="str">
        <f>"03/07/2005"</f>
        <v>03/07/2005</v>
      </c>
      <c r="B4726">
        <v>1</v>
      </c>
      <c r="C4726">
        <v>8000</v>
      </c>
      <c r="D4726">
        <v>55350</v>
      </c>
      <c r="E4726">
        <v>8000</v>
      </c>
      <c r="F4726">
        <v>8000</v>
      </c>
      <c r="G4726" s="1">
        <v>3.5000000000000003E-2</v>
      </c>
      <c r="H4726" s="1">
        <v>3.5000000000000003E-2</v>
      </c>
      <c r="I4726" s="1">
        <v>3.5000000000000003E-2</v>
      </c>
      <c r="J4726" s="1">
        <v>0.14299999999999999</v>
      </c>
    </row>
    <row r="4727" spans="1:10" x14ac:dyDescent="0.2">
      <c r="A4727" t="str">
        <f>"30/06/2005"</f>
        <v>30/06/2005</v>
      </c>
      <c r="B4727">
        <v>3</v>
      </c>
      <c r="C4727">
        <v>6000</v>
      </c>
      <c r="D4727">
        <v>5718</v>
      </c>
      <c r="E4727">
        <v>5718</v>
      </c>
      <c r="F4727">
        <v>5718</v>
      </c>
      <c r="G4727" s="1">
        <v>3.5000000000000003E-2</v>
      </c>
      <c r="H4727" s="1">
        <v>3.5000000000000003E-2</v>
      </c>
      <c r="I4727" s="1">
        <v>3.5000000000000003E-2</v>
      </c>
      <c r="J4727" s="1">
        <v>1</v>
      </c>
    </row>
    <row r="4728" spans="1:10" x14ac:dyDescent="0.2">
      <c r="A4728" t="str">
        <f>"29/06/2005"</f>
        <v>29/06/2005</v>
      </c>
      <c r="B4728">
        <v>1</v>
      </c>
      <c r="C4728">
        <v>4500</v>
      </c>
      <c r="D4728">
        <v>2485</v>
      </c>
      <c r="E4728">
        <v>2485</v>
      </c>
      <c r="F4728">
        <v>2485</v>
      </c>
      <c r="G4728" s="1">
        <v>3.5999999999999997E-2</v>
      </c>
      <c r="H4728" s="1">
        <v>3.5999999999999997E-2</v>
      </c>
      <c r="I4728" s="1">
        <v>3.5999999999999997E-2</v>
      </c>
      <c r="J4728" s="1">
        <v>1</v>
      </c>
    </row>
    <row r="4729" spans="1:10" x14ac:dyDescent="0.2">
      <c r="A4729" t="str">
        <f>"28/06/2005"</f>
        <v>28/06/2005</v>
      </c>
      <c r="B4729">
        <v>1</v>
      </c>
      <c r="C4729">
        <v>4000</v>
      </c>
      <c r="D4729">
        <v>17670</v>
      </c>
      <c r="E4729">
        <v>4000</v>
      </c>
      <c r="F4729">
        <v>4000</v>
      </c>
      <c r="G4729" s="1">
        <v>3.5999999999999997E-2</v>
      </c>
      <c r="H4729" s="1">
        <v>3.5999999999999997E-2</v>
      </c>
      <c r="I4729" s="1">
        <v>3.5999999999999997E-2</v>
      </c>
      <c r="J4729" s="1">
        <v>0.22109999999999999</v>
      </c>
    </row>
    <row r="4730" spans="1:10" x14ac:dyDescent="0.2">
      <c r="A4730" t="str">
        <f>"27/06/2005"</f>
        <v>27/06/2005</v>
      </c>
      <c r="B4730">
        <v>1</v>
      </c>
      <c r="C4730">
        <v>2000</v>
      </c>
      <c r="D4730">
        <v>16750</v>
      </c>
      <c r="E4730">
        <v>2000</v>
      </c>
      <c r="F4730">
        <v>2000</v>
      </c>
      <c r="G4730" s="1">
        <v>3.5999999999999997E-2</v>
      </c>
      <c r="H4730" s="1">
        <v>3.5999999999999997E-2</v>
      </c>
      <c r="I4730" s="1">
        <v>3.5999999999999997E-2</v>
      </c>
      <c r="J4730" s="1">
        <v>0.11940000000000001</v>
      </c>
    </row>
    <row r="4731" spans="1:10" x14ac:dyDescent="0.2">
      <c r="A4731" t="str">
        <f>"26/06/2005"</f>
        <v>26/06/2005</v>
      </c>
      <c r="B4731">
        <v>1</v>
      </c>
      <c r="C4731">
        <v>2000</v>
      </c>
      <c r="D4731">
        <v>14400</v>
      </c>
      <c r="E4731">
        <v>2000</v>
      </c>
      <c r="F4731">
        <v>2000</v>
      </c>
      <c r="G4731" s="1">
        <v>3.5999999999999997E-2</v>
      </c>
      <c r="H4731" s="1">
        <v>3.5999999999999997E-2</v>
      </c>
      <c r="I4731" s="1">
        <v>3.5999999999999997E-2</v>
      </c>
      <c r="J4731" s="1">
        <v>0.1389</v>
      </c>
    </row>
    <row r="4732" spans="1:10" x14ac:dyDescent="0.2">
      <c r="A4732" t="str">
        <f>"23/06/2005"</f>
        <v>23/06/2005</v>
      </c>
      <c r="B4732">
        <v>3</v>
      </c>
      <c r="C4732">
        <v>2000</v>
      </c>
      <c r="D4732">
        <v>10000</v>
      </c>
      <c r="E4732">
        <v>2000</v>
      </c>
      <c r="F4732">
        <v>2000</v>
      </c>
      <c r="G4732" s="1">
        <v>3.5999999999999997E-2</v>
      </c>
      <c r="H4732" s="1">
        <v>3.5999999999999997E-2</v>
      </c>
      <c r="I4732" s="1">
        <v>3.5999999999999997E-2</v>
      </c>
      <c r="J4732" s="1">
        <v>0.2</v>
      </c>
    </row>
    <row r="4733" spans="1:10" x14ac:dyDescent="0.2">
      <c r="A4733" t="str">
        <f>"21/06/2005"</f>
        <v>21/06/2005</v>
      </c>
      <c r="B4733">
        <v>1</v>
      </c>
      <c r="C4733">
        <v>5500</v>
      </c>
      <c r="D4733">
        <v>36100</v>
      </c>
      <c r="E4733">
        <v>5500</v>
      </c>
      <c r="F4733">
        <v>5500</v>
      </c>
      <c r="G4733" s="1">
        <v>3.5999999999999997E-2</v>
      </c>
      <c r="H4733" s="1">
        <v>3.5999999999999997E-2</v>
      </c>
      <c r="I4733" s="1">
        <v>3.5999999999999997E-2</v>
      </c>
      <c r="J4733" s="1">
        <v>0.15240000000000001</v>
      </c>
    </row>
    <row r="4734" spans="1:10" x14ac:dyDescent="0.2">
      <c r="A4734" t="str">
        <f>"20/06/2005"</f>
        <v>20/06/2005</v>
      </c>
      <c r="B4734">
        <v>1</v>
      </c>
      <c r="C4734">
        <v>7000</v>
      </c>
      <c r="D4734">
        <v>78100</v>
      </c>
      <c r="E4734">
        <v>7000</v>
      </c>
      <c r="F4734">
        <v>7000</v>
      </c>
      <c r="G4734" s="1">
        <v>3.5999999999999997E-2</v>
      </c>
      <c r="H4734" s="1">
        <v>3.5999999999999997E-2</v>
      </c>
      <c r="I4734" s="1">
        <v>3.5999999999999997E-2</v>
      </c>
      <c r="J4734" s="1">
        <v>8.9599999999999999E-2</v>
      </c>
    </row>
    <row r="4735" spans="1:10" x14ac:dyDescent="0.2">
      <c r="A4735" t="str">
        <f>"19/06/2005"</f>
        <v>19/06/2005</v>
      </c>
      <c r="B4735">
        <v>1</v>
      </c>
      <c r="C4735">
        <v>7500</v>
      </c>
      <c r="D4735">
        <v>81600</v>
      </c>
      <c r="E4735">
        <v>7500</v>
      </c>
      <c r="F4735">
        <v>7500</v>
      </c>
      <c r="G4735" s="1">
        <v>3.5999999999999997E-2</v>
      </c>
      <c r="H4735" s="1">
        <v>3.5999999999999997E-2</v>
      </c>
      <c r="I4735" s="1">
        <v>3.5999999999999997E-2</v>
      </c>
      <c r="J4735" s="1">
        <v>9.1899999999999996E-2</v>
      </c>
    </row>
    <row r="4736" spans="1:10" x14ac:dyDescent="0.2">
      <c r="A4736" t="str">
        <f>"16/06/2005"</f>
        <v>16/06/2005</v>
      </c>
      <c r="B4736">
        <v>3</v>
      </c>
      <c r="C4736">
        <v>8000</v>
      </c>
      <c r="D4736">
        <v>63200</v>
      </c>
      <c r="E4736">
        <v>8000</v>
      </c>
      <c r="F4736">
        <v>8000</v>
      </c>
      <c r="G4736" s="1">
        <v>3.5999999999999997E-2</v>
      </c>
      <c r="H4736" s="1">
        <v>3.5999999999999997E-2</v>
      </c>
      <c r="I4736" s="1">
        <v>3.5999999999999997E-2</v>
      </c>
      <c r="J4736" s="1">
        <v>0.12659999999999999</v>
      </c>
    </row>
    <row r="4737" spans="1:10" x14ac:dyDescent="0.2">
      <c r="A4737" t="str">
        <f>"15/06/2005"</f>
        <v>15/06/2005</v>
      </c>
      <c r="B4737">
        <v>1</v>
      </c>
      <c r="C4737">
        <v>7500</v>
      </c>
      <c r="D4737">
        <v>53300</v>
      </c>
      <c r="E4737">
        <v>7500</v>
      </c>
      <c r="F4737">
        <v>7500</v>
      </c>
      <c r="G4737" s="1">
        <v>3.5999999999999997E-2</v>
      </c>
      <c r="H4737" s="1">
        <v>3.5999999999999997E-2</v>
      </c>
      <c r="I4737" s="1">
        <v>3.5999999999999997E-2</v>
      </c>
      <c r="J4737" s="1">
        <v>0.14069999999999999</v>
      </c>
    </row>
    <row r="4738" spans="1:10" x14ac:dyDescent="0.2">
      <c r="A4738" t="str">
        <f>"14/06/2005"</f>
        <v>14/06/2005</v>
      </c>
      <c r="B4738">
        <v>1</v>
      </c>
      <c r="C4738">
        <v>8500</v>
      </c>
      <c r="D4738">
        <v>91450</v>
      </c>
      <c r="E4738">
        <v>8500</v>
      </c>
      <c r="F4738">
        <v>8500</v>
      </c>
      <c r="G4738" s="1">
        <v>3.5999999999999997E-2</v>
      </c>
      <c r="H4738" s="1">
        <v>3.5999999999999997E-2</v>
      </c>
      <c r="I4738" s="1">
        <v>3.5999999999999997E-2</v>
      </c>
      <c r="J4738" s="1">
        <v>9.2899999999999996E-2</v>
      </c>
    </row>
    <row r="4739" spans="1:10" x14ac:dyDescent="0.2">
      <c r="A4739" t="str">
        <f>"09/06/2005"</f>
        <v>09/06/2005</v>
      </c>
      <c r="B4739">
        <v>5</v>
      </c>
      <c r="C4739">
        <v>9000</v>
      </c>
      <c r="D4739">
        <v>108600</v>
      </c>
      <c r="E4739">
        <v>9000</v>
      </c>
      <c r="F4739">
        <v>9000</v>
      </c>
      <c r="G4739" s="1">
        <v>3.5999999999999997E-2</v>
      </c>
      <c r="H4739" s="1">
        <v>3.5999999999999997E-2</v>
      </c>
      <c r="I4739" s="1">
        <v>3.5999999999999997E-2</v>
      </c>
      <c r="J4739" s="1">
        <v>8.2900000000000001E-2</v>
      </c>
    </row>
    <row r="4740" spans="1:10" x14ac:dyDescent="0.2">
      <c r="A4740" t="str">
        <f>"08/06/2005"</f>
        <v>08/06/2005</v>
      </c>
      <c r="B4740">
        <v>1</v>
      </c>
      <c r="C4740">
        <v>7000</v>
      </c>
      <c r="D4740">
        <v>89080</v>
      </c>
      <c r="E4740">
        <v>7000</v>
      </c>
      <c r="F4740">
        <v>7000</v>
      </c>
      <c r="G4740" s="1">
        <v>3.5999999999999997E-2</v>
      </c>
      <c r="H4740" s="1">
        <v>3.5999999999999997E-2</v>
      </c>
      <c r="I4740" s="1">
        <v>3.5999999999999997E-2</v>
      </c>
      <c r="J4740" s="1">
        <v>7.8600000000000003E-2</v>
      </c>
    </row>
    <row r="4741" spans="1:10" x14ac:dyDescent="0.2">
      <c r="A4741" t="str">
        <f>"07/06/2005"</f>
        <v>07/06/2005</v>
      </c>
      <c r="B4741">
        <v>1</v>
      </c>
      <c r="C4741">
        <v>9000</v>
      </c>
      <c r="D4741">
        <v>116710</v>
      </c>
      <c r="E4741">
        <v>9000</v>
      </c>
      <c r="F4741">
        <v>9000</v>
      </c>
      <c r="G4741" s="1">
        <v>3.5999999999999997E-2</v>
      </c>
      <c r="H4741" s="1">
        <v>3.5999999999999997E-2</v>
      </c>
      <c r="I4741" s="1">
        <v>3.5999999999999997E-2</v>
      </c>
      <c r="J4741" s="1">
        <v>7.7100000000000002E-2</v>
      </c>
    </row>
    <row r="4742" spans="1:10" x14ac:dyDescent="0.2">
      <c r="A4742" t="str">
        <f>"06/06/2005"</f>
        <v>06/06/2005</v>
      </c>
      <c r="B4742">
        <v>1</v>
      </c>
      <c r="C4742">
        <v>9000</v>
      </c>
      <c r="D4742">
        <v>102395</v>
      </c>
      <c r="E4742">
        <v>9000</v>
      </c>
      <c r="F4742">
        <v>9000</v>
      </c>
      <c r="G4742" s="1">
        <v>3.5999999999999997E-2</v>
      </c>
      <c r="H4742" s="1">
        <v>3.5999999999999997E-2</v>
      </c>
      <c r="I4742" s="1">
        <v>3.5999999999999997E-2</v>
      </c>
      <c r="J4742" s="1">
        <v>8.7900000000000006E-2</v>
      </c>
    </row>
    <row r="4743" spans="1:10" x14ac:dyDescent="0.2">
      <c r="A4743" t="str">
        <f>"05/06/2005"</f>
        <v>05/06/2005</v>
      </c>
      <c r="B4743">
        <v>1</v>
      </c>
      <c r="C4743">
        <v>11000</v>
      </c>
      <c r="D4743">
        <v>101360</v>
      </c>
      <c r="E4743">
        <v>11000</v>
      </c>
      <c r="F4743">
        <v>11000</v>
      </c>
      <c r="G4743" s="1">
        <v>3.5999999999999997E-2</v>
      </c>
      <c r="H4743" s="1">
        <v>3.5999999999999997E-2</v>
      </c>
      <c r="I4743" s="1">
        <v>3.5999999999999997E-2</v>
      </c>
      <c r="J4743" s="1">
        <v>0.1085</v>
      </c>
    </row>
    <row r="4744" spans="1:10" x14ac:dyDescent="0.2">
      <c r="A4744" t="str">
        <f>"02/06/2005"</f>
        <v>02/06/2005</v>
      </c>
      <c r="B4744">
        <v>3</v>
      </c>
      <c r="C4744">
        <v>11500</v>
      </c>
      <c r="D4744">
        <v>147275</v>
      </c>
      <c r="E4744">
        <v>11500</v>
      </c>
      <c r="F4744">
        <v>11500</v>
      </c>
      <c r="G4744" s="1">
        <v>3.5999999999999997E-2</v>
      </c>
      <c r="H4744" s="1">
        <v>3.5999999999999997E-2</v>
      </c>
      <c r="I4744" s="1">
        <v>3.5999999999999997E-2</v>
      </c>
      <c r="J4744" s="1">
        <v>7.8100000000000003E-2</v>
      </c>
    </row>
    <row r="4745" spans="1:10" x14ac:dyDescent="0.2">
      <c r="A4745" t="str">
        <f>"01/06/2005"</f>
        <v>01/06/2005</v>
      </c>
      <c r="B4745">
        <v>1</v>
      </c>
      <c r="C4745">
        <v>18000</v>
      </c>
      <c r="D4745">
        <v>178500</v>
      </c>
      <c r="E4745">
        <v>18000</v>
      </c>
      <c r="F4745">
        <v>18000</v>
      </c>
      <c r="G4745" s="1">
        <v>3.5999999999999997E-2</v>
      </c>
      <c r="H4745" s="1">
        <v>3.5999999999999997E-2</v>
      </c>
      <c r="I4745" s="1">
        <v>3.5999999999999997E-2</v>
      </c>
      <c r="J4745" s="1">
        <v>0.1008</v>
      </c>
    </row>
    <row r="4746" spans="1:10" x14ac:dyDescent="0.2">
      <c r="A4746" t="str">
        <f>"31/05/2005"</f>
        <v>31/05/2005</v>
      </c>
      <c r="B4746">
        <v>1</v>
      </c>
      <c r="C4746">
        <v>8000</v>
      </c>
      <c r="D4746">
        <v>13230</v>
      </c>
      <c r="E4746">
        <v>8000</v>
      </c>
      <c r="F4746">
        <v>8000</v>
      </c>
      <c r="G4746" s="1">
        <v>3.5999999999999997E-2</v>
      </c>
      <c r="H4746" s="1">
        <v>3.5999999999999997E-2</v>
      </c>
      <c r="I4746" s="1">
        <v>3.5999999999999997E-2</v>
      </c>
      <c r="J4746" s="1">
        <v>0.59489999999999998</v>
      </c>
    </row>
    <row r="4747" spans="1:10" x14ac:dyDescent="0.2">
      <c r="A4747" t="str">
        <f>"18/05/2005"</f>
        <v>18/05/2005</v>
      </c>
      <c r="B4747">
        <v>1</v>
      </c>
      <c r="C4747">
        <v>3000</v>
      </c>
      <c r="D4747">
        <v>27700</v>
      </c>
      <c r="E4747">
        <v>3000</v>
      </c>
      <c r="F4747">
        <v>3000</v>
      </c>
      <c r="G4747" s="1">
        <v>3.5999999999999997E-2</v>
      </c>
      <c r="H4747" s="1">
        <v>3.5499999999999997E-2</v>
      </c>
      <c r="I4747" s="1">
        <v>3.5499999999999997E-2</v>
      </c>
      <c r="J4747" s="1">
        <v>5.7299999999999997E-2</v>
      </c>
    </row>
    <row r="4748" spans="1:10" x14ac:dyDescent="0.2">
      <c r="A4748" t="str">
        <f>"17/05/2005"</f>
        <v>17/05/2005</v>
      </c>
      <c r="B4748">
        <v>1</v>
      </c>
      <c r="C4748">
        <v>2000</v>
      </c>
      <c r="D4748">
        <v>33400</v>
      </c>
      <c r="E4748">
        <v>2000</v>
      </c>
      <c r="F4748">
        <v>2000</v>
      </c>
      <c r="G4748" s="1">
        <v>3.5000000000000003E-2</v>
      </c>
      <c r="H4748" s="1">
        <v>3.5000000000000003E-2</v>
      </c>
      <c r="I4748" s="1">
        <v>3.5000000000000003E-2</v>
      </c>
      <c r="J4748" s="1">
        <v>0.36359999999999998</v>
      </c>
    </row>
    <row r="4749" spans="1:10" x14ac:dyDescent="0.2">
      <c r="A4749" t="str">
        <f>"16/05/2005"</f>
        <v>16/05/2005</v>
      </c>
      <c r="B4749">
        <v>1</v>
      </c>
      <c r="C4749">
        <v>2000</v>
      </c>
      <c r="D4749">
        <v>32100</v>
      </c>
      <c r="E4749">
        <v>2000</v>
      </c>
      <c r="F4749">
        <v>2000</v>
      </c>
      <c r="G4749" s="1">
        <v>3.5000000000000003E-2</v>
      </c>
      <c r="H4749" s="1">
        <v>3.5000000000000003E-2</v>
      </c>
      <c r="I4749" s="1">
        <v>3.5000000000000003E-2</v>
      </c>
      <c r="J4749" s="1">
        <v>0.90910000000000002</v>
      </c>
    </row>
    <row r="4750" spans="1:10" x14ac:dyDescent="0.2">
      <c r="A4750" t="str">
        <f>"15/05/2005"</f>
        <v>15/05/2005</v>
      </c>
      <c r="B4750">
        <v>1</v>
      </c>
      <c r="C4750">
        <v>9500</v>
      </c>
      <c r="D4750">
        <v>146600</v>
      </c>
      <c r="E4750">
        <v>9500</v>
      </c>
      <c r="F4750">
        <v>9500</v>
      </c>
      <c r="G4750" s="1">
        <v>3.5999999999999997E-2</v>
      </c>
      <c r="H4750" s="1">
        <v>3.5900000000000001E-2</v>
      </c>
      <c r="I4750" s="1">
        <v>3.5900000000000001E-2</v>
      </c>
      <c r="J4750" s="1">
        <v>6.0299999999999999E-2</v>
      </c>
    </row>
    <row r="4751" spans="1:10" x14ac:dyDescent="0.2">
      <c r="A4751" t="str">
        <f>"11/05/2005"</f>
        <v>11/05/2005</v>
      </c>
      <c r="B4751">
        <v>4</v>
      </c>
      <c r="C4751">
        <v>11500</v>
      </c>
      <c r="D4751">
        <v>170400</v>
      </c>
      <c r="E4751">
        <v>11500</v>
      </c>
      <c r="F4751">
        <v>11500</v>
      </c>
      <c r="G4751" s="1">
        <v>3.5999999999999997E-2</v>
      </c>
      <c r="H4751" s="1">
        <v>3.5900000000000001E-2</v>
      </c>
      <c r="I4751" s="1">
        <v>3.5900000000000001E-2</v>
      </c>
      <c r="J4751" s="1">
        <v>6.2E-2</v>
      </c>
    </row>
    <row r="4752" spans="1:10" x14ac:dyDescent="0.2">
      <c r="A4752" t="str">
        <f>"10/05/2005"</f>
        <v>10/05/2005</v>
      </c>
      <c r="B4752">
        <v>1</v>
      </c>
      <c r="C4752">
        <v>11500</v>
      </c>
      <c r="D4752">
        <v>158025</v>
      </c>
      <c r="E4752">
        <v>11500</v>
      </c>
      <c r="F4752">
        <v>11500</v>
      </c>
      <c r="G4752" s="1">
        <v>3.5999999999999997E-2</v>
      </c>
      <c r="H4752" s="1">
        <v>3.5900000000000001E-2</v>
      </c>
      <c r="I4752" s="1">
        <v>3.5900000000000001E-2</v>
      </c>
      <c r="J4752" s="1">
        <v>6.9199999999999998E-2</v>
      </c>
    </row>
    <row r="4753" spans="1:10" x14ac:dyDescent="0.2">
      <c r="A4753" t="str">
        <f>"09/05/2005"</f>
        <v>09/05/2005</v>
      </c>
      <c r="B4753">
        <v>1</v>
      </c>
      <c r="C4753">
        <v>6000</v>
      </c>
      <c r="D4753">
        <v>97100</v>
      </c>
      <c r="E4753">
        <v>6000</v>
      </c>
      <c r="F4753">
        <v>6000</v>
      </c>
      <c r="G4753" s="1">
        <v>3.5999999999999997E-2</v>
      </c>
      <c r="H4753" s="1">
        <v>3.5999999999999997E-2</v>
      </c>
      <c r="I4753" s="1">
        <v>3.5999999999999997E-2</v>
      </c>
      <c r="J4753" s="1">
        <v>6.1800000000000001E-2</v>
      </c>
    </row>
    <row r="4754" spans="1:10" x14ac:dyDescent="0.2">
      <c r="A4754" t="str">
        <f>"08/05/2005"</f>
        <v>08/05/2005</v>
      </c>
      <c r="B4754">
        <v>1</v>
      </c>
      <c r="C4754">
        <v>6000</v>
      </c>
      <c r="D4754">
        <v>87200</v>
      </c>
      <c r="E4754">
        <v>6000</v>
      </c>
      <c r="F4754">
        <v>6000</v>
      </c>
      <c r="G4754" s="1">
        <v>3.5999999999999997E-2</v>
      </c>
      <c r="H4754" s="1">
        <v>3.5999999999999997E-2</v>
      </c>
      <c r="I4754" s="1">
        <v>3.5999999999999997E-2</v>
      </c>
      <c r="J4754" s="1">
        <v>6.88E-2</v>
      </c>
    </row>
    <row r="4755" spans="1:10" x14ac:dyDescent="0.2">
      <c r="A4755" t="str">
        <f>"05/05/2005"</f>
        <v>05/05/2005</v>
      </c>
      <c r="B4755">
        <v>3</v>
      </c>
      <c r="C4755">
        <v>6000</v>
      </c>
      <c r="D4755">
        <v>72700</v>
      </c>
      <c r="E4755">
        <v>6000</v>
      </c>
      <c r="F4755">
        <v>6000</v>
      </c>
      <c r="G4755" s="1">
        <v>3.5999999999999997E-2</v>
      </c>
      <c r="H4755" s="1">
        <v>3.5999999999999997E-2</v>
      </c>
      <c r="I4755" s="1">
        <v>3.5999999999999997E-2</v>
      </c>
      <c r="J4755" s="1">
        <v>8.2500000000000004E-2</v>
      </c>
    </row>
    <row r="4756" spans="1:10" x14ac:dyDescent="0.2">
      <c r="A4756" t="str">
        <f>"04/05/2005"</f>
        <v>04/05/2005</v>
      </c>
      <c r="B4756">
        <v>1</v>
      </c>
      <c r="C4756">
        <v>6500</v>
      </c>
      <c r="D4756">
        <v>75600</v>
      </c>
      <c r="E4756">
        <v>6500</v>
      </c>
      <c r="F4756">
        <v>6500</v>
      </c>
      <c r="G4756" s="1">
        <v>3.5999999999999997E-2</v>
      </c>
      <c r="H4756" s="1">
        <v>3.5999999999999997E-2</v>
      </c>
      <c r="I4756" s="1">
        <v>3.5999999999999997E-2</v>
      </c>
      <c r="J4756" s="1">
        <v>8.5999999999999993E-2</v>
      </c>
    </row>
    <row r="4757" spans="1:10" x14ac:dyDescent="0.2">
      <c r="A4757" t="str">
        <f>"03/05/2005"</f>
        <v>03/05/2005</v>
      </c>
      <c r="B4757">
        <v>1</v>
      </c>
      <c r="C4757">
        <v>4000</v>
      </c>
      <c r="D4757">
        <v>40150</v>
      </c>
      <c r="E4757">
        <v>4000</v>
      </c>
      <c r="F4757">
        <v>4000</v>
      </c>
      <c r="G4757" s="1">
        <v>3.5999999999999997E-2</v>
      </c>
      <c r="H4757" s="1">
        <v>3.5999999999999997E-2</v>
      </c>
      <c r="I4757" s="1">
        <v>3.5999999999999997E-2</v>
      </c>
      <c r="J4757" s="1">
        <v>9.9599999999999994E-2</v>
      </c>
    </row>
    <row r="4758" spans="1:10" x14ac:dyDescent="0.2">
      <c r="A4758" t="str">
        <f>"02/05/2005"</f>
        <v>02/05/2005</v>
      </c>
      <c r="B4758">
        <v>1</v>
      </c>
      <c r="C4758">
        <v>6000</v>
      </c>
      <c r="D4758">
        <v>60400</v>
      </c>
      <c r="E4758">
        <v>6000</v>
      </c>
      <c r="F4758">
        <v>6000</v>
      </c>
      <c r="G4758" s="1">
        <v>3.5999999999999997E-2</v>
      </c>
      <c r="H4758" s="1">
        <v>3.5999999999999997E-2</v>
      </c>
      <c r="I4758" s="1">
        <v>3.5999999999999997E-2</v>
      </c>
      <c r="J4758" s="1">
        <v>9.9299999999999999E-2</v>
      </c>
    </row>
    <row r="4759" spans="1:10" x14ac:dyDescent="0.2">
      <c r="A4759" t="str">
        <f>"01/05/2005"</f>
        <v>01/05/2005</v>
      </c>
      <c r="B4759">
        <v>1</v>
      </c>
      <c r="C4759">
        <v>7500</v>
      </c>
      <c r="D4759">
        <v>67950</v>
      </c>
      <c r="E4759">
        <v>7500</v>
      </c>
      <c r="F4759">
        <v>7500</v>
      </c>
      <c r="G4759" s="1">
        <v>3.5999999999999997E-2</v>
      </c>
      <c r="H4759" s="1">
        <v>3.5999999999999997E-2</v>
      </c>
      <c r="I4759" s="1">
        <v>3.5999999999999997E-2</v>
      </c>
      <c r="J4759" s="1">
        <v>0.1104</v>
      </c>
    </row>
    <row r="4760" spans="1:10" x14ac:dyDescent="0.2">
      <c r="A4760" t="str">
        <f>"28/04/2005"</f>
        <v>28/04/2005</v>
      </c>
      <c r="B4760">
        <v>3</v>
      </c>
      <c r="C4760">
        <v>2500</v>
      </c>
      <c r="D4760">
        <v>16360</v>
      </c>
      <c r="E4760">
        <v>2500</v>
      </c>
      <c r="F4760">
        <v>2500</v>
      </c>
      <c r="G4760" s="1">
        <v>3.5999999999999997E-2</v>
      </c>
      <c r="H4760" s="1">
        <v>3.5999999999999997E-2</v>
      </c>
      <c r="I4760" s="1">
        <v>3.5999999999999997E-2</v>
      </c>
      <c r="J4760" s="1">
        <v>0.15279999999999999</v>
      </c>
    </row>
    <row r="4761" spans="1:10" x14ac:dyDescent="0.2">
      <c r="A4761" t="str">
        <f>"27/04/2005"</f>
        <v>27/04/2005</v>
      </c>
      <c r="B4761">
        <v>1</v>
      </c>
      <c r="C4761">
        <v>7500</v>
      </c>
      <c r="D4761">
        <v>4905</v>
      </c>
      <c r="E4761">
        <v>4905</v>
      </c>
      <c r="F4761">
        <v>4905</v>
      </c>
      <c r="G4761" s="1">
        <v>3.5999999999999997E-2</v>
      </c>
      <c r="H4761" s="1">
        <v>3.5900000000000001E-2</v>
      </c>
      <c r="I4761" s="1">
        <v>3.5900000000000001E-2</v>
      </c>
      <c r="J4761" s="1">
        <v>1</v>
      </c>
    </row>
    <row r="4762" spans="1:10" x14ac:dyDescent="0.2">
      <c r="A4762" t="str">
        <f>"26/04/2005"</f>
        <v>26/04/2005</v>
      </c>
      <c r="B4762">
        <v>1</v>
      </c>
      <c r="C4762">
        <v>7000</v>
      </c>
      <c r="D4762">
        <v>39700</v>
      </c>
      <c r="E4762">
        <v>7000</v>
      </c>
      <c r="F4762">
        <v>7000</v>
      </c>
      <c r="G4762" s="1">
        <v>3.5999999999999997E-2</v>
      </c>
      <c r="H4762" s="1">
        <v>3.5999999999999997E-2</v>
      </c>
      <c r="I4762" s="1">
        <v>3.5999999999999997E-2</v>
      </c>
      <c r="J4762" s="1">
        <v>0.17630000000000001</v>
      </c>
    </row>
    <row r="4763" spans="1:10" x14ac:dyDescent="0.2">
      <c r="A4763" t="str">
        <f>"25/04/2005"</f>
        <v>25/04/2005</v>
      </c>
      <c r="B4763">
        <v>1</v>
      </c>
      <c r="C4763">
        <v>2500</v>
      </c>
      <c r="D4763">
        <v>21105</v>
      </c>
      <c r="E4763">
        <v>2500</v>
      </c>
      <c r="F4763">
        <v>2500</v>
      </c>
      <c r="G4763" s="1">
        <v>3.5999999999999997E-2</v>
      </c>
      <c r="H4763" s="1">
        <v>3.5999999999999997E-2</v>
      </c>
      <c r="I4763" s="1">
        <v>3.5999999999999997E-2</v>
      </c>
      <c r="J4763" s="1">
        <v>0.11849999999999999</v>
      </c>
    </row>
    <row r="4764" spans="1:10" x14ac:dyDescent="0.2">
      <c r="A4764" t="str">
        <f>"21/04/2005"</f>
        <v>21/04/2005</v>
      </c>
      <c r="B4764">
        <v>4</v>
      </c>
      <c r="C4764">
        <v>4500</v>
      </c>
      <c r="D4764">
        <v>16950</v>
      </c>
      <c r="E4764">
        <v>4500</v>
      </c>
      <c r="F4764">
        <v>4500</v>
      </c>
      <c r="G4764" s="1">
        <v>3.5999999999999997E-2</v>
      </c>
      <c r="H4764" s="1">
        <v>3.5999999999999997E-2</v>
      </c>
      <c r="I4764" s="1">
        <v>3.5999999999999997E-2</v>
      </c>
      <c r="J4764" s="1">
        <v>0.26550000000000001</v>
      </c>
    </row>
    <row r="4765" spans="1:10" x14ac:dyDescent="0.2">
      <c r="A4765" t="str">
        <f>"20/04/2005"</f>
        <v>20/04/2005</v>
      </c>
      <c r="B4765">
        <v>1</v>
      </c>
      <c r="C4765">
        <v>4500</v>
      </c>
      <c r="D4765">
        <v>35400</v>
      </c>
      <c r="E4765">
        <v>4500</v>
      </c>
      <c r="F4765">
        <v>4500</v>
      </c>
      <c r="G4765" s="1">
        <v>3.5999999999999997E-2</v>
      </c>
      <c r="H4765" s="1">
        <v>3.5999999999999997E-2</v>
      </c>
      <c r="I4765" s="1">
        <v>3.5999999999999997E-2</v>
      </c>
      <c r="J4765" s="1">
        <v>0.12709999999999999</v>
      </c>
    </row>
    <row r="4766" spans="1:10" x14ac:dyDescent="0.2">
      <c r="A4766" t="str">
        <f>"19/04/2005"</f>
        <v>19/04/2005</v>
      </c>
      <c r="B4766">
        <v>1</v>
      </c>
      <c r="C4766">
        <v>7000</v>
      </c>
      <c r="D4766">
        <v>51600</v>
      </c>
      <c r="E4766">
        <v>7000</v>
      </c>
      <c r="F4766">
        <v>7000</v>
      </c>
      <c r="G4766" s="1">
        <v>3.5999999999999997E-2</v>
      </c>
      <c r="H4766" s="1">
        <v>3.5999999999999997E-2</v>
      </c>
      <c r="I4766" s="1">
        <v>3.5999999999999997E-2</v>
      </c>
      <c r="J4766" s="1">
        <v>0.13569999999999999</v>
      </c>
    </row>
    <row r="4767" spans="1:10" x14ac:dyDescent="0.2">
      <c r="A4767" t="str">
        <f>"18/04/2005"</f>
        <v>18/04/2005</v>
      </c>
      <c r="B4767">
        <v>1</v>
      </c>
      <c r="C4767">
        <v>7000</v>
      </c>
      <c r="D4767">
        <v>68100</v>
      </c>
      <c r="E4767">
        <v>7000</v>
      </c>
      <c r="F4767">
        <v>7000</v>
      </c>
      <c r="G4767" s="1">
        <v>3.5999999999999997E-2</v>
      </c>
      <c r="H4767" s="1">
        <v>3.5999999999999997E-2</v>
      </c>
      <c r="I4767" s="1">
        <v>3.5999999999999997E-2</v>
      </c>
      <c r="J4767" s="1">
        <v>0.1028</v>
      </c>
    </row>
    <row r="4768" spans="1:10" x14ac:dyDescent="0.2">
      <c r="A4768" t="str">
        <f>"17/04/2005"</f>
        <v>17/04/2005</v>
      </c>
      <c r="B4768">
        <v>1</v>
      </c>
      <c r="C4768">
        <v>7000</v>
      </c>
      <c r="D4768">
        <v>57400</v>
      </c>
      <c r="E4768">
        <v>7000</v>
      </c>
      <c r="F4768">
        <v>7000</v>
      </c>
      <c r="G4768" s="1">
        <v>3.5999999999999997E-2</v>
      </c>
      <c r="H4768" s="1">
        <v>3.5999999999999997E-2</v>
      </c>
      <c r="I4768" s="1">
        <v>3.5999999999999997E-2</v>
      </c>
      <c r="J4768" s="1">
        <v>0.122</v>
      </c>
    </row>
    <row r="4769" spans="1:10" x14ac:dyDescent="0.2">
      <c r="A4769" t="str">
        <f>"14/04/2005"</f>
        <v>14/04/2005</v>
      </c>
      <c r="B4769">
        <v>3</v>
      </c>
      <c r="C4769">
        <v>9500</v>
      </c>
      <c r="D4769">
        <v>61900</v>
      </c>
      <c r="E4769">
        <v>9500</v>
      </c>
      <c r="F4769">
        <v>9500</v>
      </c>
      <c r="G4769" s="1">
        <v>3.5999999999999997E-2</v>
      </c>
      <c r="H4769" s="1">
        <v>3.5999999999999997E-2</v>
      </c>
      <c r="I4769" s="1">
        <v>3.5999999999999997E-2</v>
      </c>
      <c r="J4769" s="1">
        <v>0.1535</v>
      </c>
    </row>
    <row r="4770" spans="1:10" x14ac:dyDescent="0.2">
      <c r="A4770" t="str">
        <f>"14/04/2005"</f>
        <v>14/04/2005</v>
      </c>
      <c r="B4770">
        <v>1</v>
      </c>
      <c r="C4770">
        <v>4500</v>
      </c>
      <c r="D4770">
        <v>27000</v>
      </c>
      <c r="E4770">
        <v>4500</v>
      </c>
      <c r="F4770">
        <v>4500</v>
      </c>
      <c r="G4770" s="1">
        <v>3.5999999999999997E-2</v>
      </c>
      <c r="H4770" s="1">
        <v>3.5999999999999997E-2</v>
      </c>
      <c r="I4770" s="1">
        <v>3.5999999999999997E-2</v>
      </c>
      <c r="J4770" s="1">
        <v>0.16669999999999999</v>
      </c>
    </row>
    <row r="4771" spans="1:10" x14ac:dyDescent="0.2">
      <c r="A4771" t="str">
        <f>"13/04/2005"</f>
        <v>13/04/2005</v>
      </c>
      <c r="B4771">
        <v>1</v>
      </c>
      <c r="C4771">
        <v>9000</v>
      </c>
      <c r="D4771">
        <v>54400</v>
      </c>
      <c r="E4771">
        <v>9000</v>
      </c>
      <c r="F4771">
        <v>9000</v>
      </c>
      <c r="G4771" s="1">
        <v>3.5999999999999997E-2</v>
      </c>
      <c r="H4771" s="1">
        <v>3.5999999999999997E-2</v>
      </c>
      <c r="I4771" s="1">
        <v>3.5999999999999997E-2</v>
      </c>
      <c r="J4771" s="1">
        <v>0.16539999999999999</v>
      </c>
    </row>
    <row r="4772" spans="1:10" x14ac:dyDescent="0.2">
      <c r="A4772" t="str">
        <f>"12/04/2005"</f>
        <v>12/04/2005</v>
      </c>
      <c r="B4772">
        <v>1</v>
      </c>
      <c r="C4772">
        <v>9500</v>
      </c>
      <c r="D4772">
        <v>72600</v>
      </c>
      <c r="E4772">
        <v>9500</v>
      </c>
      <c r="F4772">
        <v>9500</v>
      </c>
      <c r="G4772" s="1">
        <v>3.5999999999999997E-2</v>
      </c>
      <c r="H4772" s="1">
        <v>3.5999999999999997E-2</v>
      </c>
      <c r="I4772" s="1">
        <v>3.5999999999999997E-2</v>
      </c>
      <c r="J4772" s="1">
        <v>0.13089999999999999</v>
      </c>
    </row>
    <row r="4773" spans="1:10" x14ac:dyDescent="0.2">
      <c r="A4773" t="str">
        <f>"11/04/2005"</f>
        <v>11/04/2005</v>
      </c>
      <c r="B4773">
        <v>1</v>
      </c>
      <c r="C4773">
        <v>9500</v>
      </c>
      <c r="D4773">
        <v>90000</v>
      </c>
      <c r="E4773">
        <v>9500</v>
      </c>
      <c r="F4773">
        <v>9500</v>
      </c>
      <c r="G4773" s="1">
        <v>3.5999999999999997E-2</v>
      </c>
      <c r="H4773" s="1">
        <v>3.5999999999999997E-2</v>
      </c>
      <c r="I4773" s="1">
        <v>3.5999999999999997E-2</v>
      </c>
      <c r="J4773" s="1">
        <v>0.1056</v>
      </c>
    </row>
    <row r="4774" spans="1:10" x14ac:dyDescent="0.2">
      <c r="A4774" t="str">
        <f>"10/04/2005"</f>
        <v>10/04/2005</v>
      </c>
      <c r="B4774">
        <v>1</v>
      </c>
      <c r="C4774">
        <v>11000</v>
      </c>
      <c r="D4774">
        <v>106200</v>
      </c>
      <c r="E4774">
        <v>11000</v>
      </c>
      <c r="F4774">
        <v>11000</v>
      </c>
      <c r="G4774" s="1">
        <v>3.5999999999999997E-2</v>
      </c>
      <c r="H4774" s="1">
        <v>3.5999999999999997E-2</v>
      </c>
      <c r="I4774" s="1">
        <v>3.5999999999999997E-2</v>
      </c>
      <c r="J4774" s="1">
        <v>0.1036</v>
      </c>
    </row>
    <row r="4775" spans="1:10" x14ac:dyDescent="0.2">
      <c r="A4775" t="str">
        <f>"07/04/2005"</f>
        <v>07/04/2005</v>
      </c>
      <c r="B4775">
        <v>3</v>
      </c>
      <c r="C4775">
        <v>7500</v>
      </c>
      <c r="D4775">
        <v>94300</v>
      </c>
      <c r="E4775">
        <v>7500</v>
      </c>
      <c r="F4775">
        <v>7500</v>
      </c>
      <c r="G4775" s="1">
        <v>3.5999999999999997E-2</v>
      </c>
      <c r="H4775" s="1">
        <v>3.5999999999999997E-2</v>
      </c>
      <c r="I4775" s="1">
        <v>3.5999999999999997E-2</v>
      </c>
      <c r="J4775" s="1">
        <v>7.9500000000000001E-2</v>
      </c>
    </row>
    <row r="4776" spans="1:10" x14ac:dyDescent="0.2">
      <c r="A4776" t="str">
        <f>"06/04/2005"</f>
        <v>06/04/2005</v>
      </c>
      <c r="B4776">
        <v>1</v>
      </c>
      <c r="C4776">
        <v>7000</v>
      </c>
      <c r="D4776">
        <v>71950</v>
      </c>
      <c r="E4776">
        <v>7000</v>
      </c>
      <c r="F4776">
        <v>7000</v>
      </c>
      <c r="G4776" s="1">
        <v>3.5999999999999997E-2</v>
      </c>
      <c r="H4776" s="1">
        <v>3.5999999999999997E-2</v>
      </c>
      <c r="I4776" s="1">
        <v>3.5999999999999997E-2</v>
      </c>
      <c r="J4776" s="1">
        <v>9.7299999999999998E-2</v>
      </c>
    </row>
    <row r="4777" spans="1:10" x14ac:dyDescent="0.2">
      <c r="A4777" t="str">
        <f>"05/04/2005"</f>
        <v>05/04/2005</v>
      </c>
      <c r="B4777">
        <v>1</v>
      </c>
      <c r="C4777">
        <v>4500</v>
      </c>
      <c r="D4777">
        <v>47700</v>
      </c>
      <c r="E4777">
        <v>4500</v>
      </c>
      <c r="F4777">
        <v>4500</v>
      </c>
      <c r="G4777" s="1">
        <v>3.5999999999999997E-2</v>
      </c>
      <c r="H4777" s="1">
        <v>3.5999999999999997E-2</v>
      </c>
      <c r="I4777" s="1">
        <v>3.5999999999999997E-2</v>
      </c>
      <c r="J4777" s="1">
        <v>9.4299999999999995E-2</v>
      </c>
    </row>
    <row r="4778" spans="1:10" x14ac:dyDescent="0.2">
      <c r="A4778" t="str">
        <f>"04/04/2005"</f>
        <v>04/04/2005</v>
      </c>
      <c r="B4778">
        <v>1</v>
      </c>
      <c r="C4778">
        <v>4500</v>
      </c>
      <c r="D4778">
        <v>46500</v>
      </c>
      <c r="E4778">
        <v>4500</v>
      </c>
      <c r="F4778">
        <v>4500</v>
      </c>
      <c r="G4778" s="1">
        <v>3.5999999999999997E-2</v>
      </c>
      <c r="H4778" s="1">
        <v>3.5999999999999997E-2</v>
      </c>
      <c r="I4778" s="1">
        <v>3.5999999999999997E-2</v>
      </c>
      <c r="J4778" s="1">
        <v>9.6799999999999997E-2</v>
      </c>
    </row>
    <row r="4779" spans="1:10" x14ac:dyDescent="0.2">
      <c r="A4779" t="str">
        <f>"03/04/2005"</f>
        <v>03/04/2005</v>
      </c>
      <c r="B4779">
        <v>1</v>
      </c>
      <c r="C4779">
        <v>6500</v>
      </c>
      <c r="D4779">
        <v>68200</v>
      </c>
      <c r="E4779">
        <v>6500</v>
      </c>
      <c r="F4779">
        <v>6500</v>
      </c>
      <c r="G4779" s="1">
        <v>3.5999999999999997E-2</v>
      </c>
      <c r="H4779" s="1">
        <v>3.5999999999999997E-2</v>
      </c>
      <c r="I4779" s="1">
        <v>3.5999999999999997E-2</v>
      </c>
      <c r="J4779" s="1">
        <v>9.5299999999999996E-2</v>
      </c>
    </row>
    <row r="4780" spans="1:10" x14ac:dyDescent="0.2">
      <c r="A4780" t="str">
        <f>"31/03/2005"</f>
        <v>31/03/2005</v>
      </c>
      <c r="B4780">
        <v>3</v>
      </c>
      <c r="C4780">
        <v>5000</v>
      </c>
      <c r="D4780">
        <v>5420</v>
      </c>
      <c r="E4780">
        <v>5000</v>
      </c>
      <c r="F4780">
        <v>5000</v>
      </c>
      <c r="G4780" s="1">
        <v>3.5999999999999997E-2</v>
      </c>
      <c r="H4780" s="1">
        <v>3.5999999999999997E-2</v>
      </c>
      <c r="I4780" s="1">
        <v>3.5999999999999997E-2</v>
      </c>
      <c r="J4780" s="1">
        <v>0.92249999999999999</v>
      </c>
    </row>
    <row r="4781" spans="1:10" x14ac:dyDescent="0.2">
      <c r="A4781" t="str">
        <f>"30/03/2005"</f>
        <v>30/03/2005</v>
      </c>
      <c r="B4781">
        <v>1</v>
      </c>
      <c r="C4781">
        <v>4000</v>
      </c>
      <c r="D4781">
        <v>3788</v>
      </c>
      <c r="E4781">
        <v>3788</v>
      </c>
      <c r="F4781">
        <v>3788</v>
      </c>
      <c r="G4781" s="1">
        <v>3.5999999999999997E-2</v>
      </c>
      <c r="H4781" s="1">
        <v>3.5999999999999997E-2</v>
      </c>
      <c r="I4781" s="1">
        <v>3.5999999999999997E-2</v>
      </c>
      <c r="J4781" s="1">
        <v>1</v>
      </c>
    </row>
    <row r="4782" spans="1:10" x14ac:dyDescent="0.2">
      <c r="A4782" t="str">
        <f>"29/03/2005"</f>
        <v>29/03/2005</v>
      </c>
      <c r="B4782">
        <v>1</v>
      </c>
      <c r="C4782">
        <v>4000</v>
      </c>
      <c r="D4782">
        <v>48644</v>
      </c>
      <c r="E4782">
        <v>4000</v>
      </c>
      <c r="F4782">
        <v>4000</v>
      </c>
      <c r="G4782" s="1">
        <v>3.5999999999999997E-2</v>
      </c>
      <c r="H4782" s="1">
        <v>3.5999999999999997E-2</v>
      </c>
      <c r="I4782" s="1">
        <v>3.5999999999999997E-2</v>
      </c>
      <c r="J4782" s="1">
        <v>8.14E-2</v>
      </c>
    </row>
    <row r="4783" spans="1:10" x14ac:dyDescent="0.2">
      <c r="A4783" t="str">
        <f>"28/03/2005"</f>
        <v>28/03/2005</v>
      </c>
      <c r="B4783">
        <v>1</v>
      </c>
      <c r="C4783">
        <v>3000</v>
      </c>
      <c r="D4783">
        <v>45644</v>
      </c>
      <c r="E4783">
        <v>3000</v>
      </c>
      <c r="F4783">
        <v>3000</v>
      </c>
      <c r="G4783" s="1">
        <v>3.5999999999999997E-2</v>
      </c>
      <c r="H4783" s="1">
        <v>3.5700000000000003E-2</v>
      </c>
      <c r="I4783" s="1">
        <v>3.5700000000000003E-2</v>
      </c>
      <c r="J4783" s="1">
        <v>4.3900000000000002E-2</v>
      </c>
    </row>
    <row r="4784" spans="1:10" x14ac:dyDescent="0.2">
      <c r="A4784" t="str">
        <f>"24/03/2005"</f>
        <v>24/03/2005</v>
      </c>
      <c r="B4784">
        <v>4</v>
      </c>
      <c r="C4784">
        <v>2000</v>
      </c>
      <c r="D4784">
        <v>35243</v>
      </c>
      <c r="E4784">
        <v>2000</v>
      </c>
      <c r="F4784">
        <v>2000</v>
      </c>
      <c r="G4784" s="1">
        <v>3.5999999999999997E-2</v>
      </c>
      <c r="H4784" s="1">
        <v>3.4700000000000002E-2</v>
      </c>
      <c r="I4784" s="1">
        <v>3.4700000000000002E-2</v>
      </c>
      <c r="J4784" s="1">
        <v>1.6500000000000001E-2</v>
      </c>
    </row>
    <row r="4785" spans="1:10" x14ac:dyDescent="0.2">
      <c r="A4785" t="str">
        <f>"21/03/2005"</f>
        <v>21/03/2005</v>
      </c>
      <c r="B4785">
        <v>1</v>
      </c>
      <c r="C4785">
        <v>2500</v>
      </c>
      <c r="D4785">
        <v>43935</v>
      </c>
      <c r="E4785">
        <v>2500</v>
      </c>
      <c r="F4785">
        <v>2500</v>
      </c>
      <c r="G4785" s="1">
        <v>3.5999999999999997E-2</v>
      </c>
      <c r="H4785" s="1">
        <v>3.5299999999999998E-2</v>
      </c>
      <c r="I4785" s="1">
        <v>3.5299999999999998E-2</v>
      </c>
      <c r="J4785" s="1">
        <v>1.8100000000000002E-2</v>
      </c>
    </row>
    <row r="4786" spans="1:10" x14ac:dyDescent="0.2">
      <c r="A4786" t="str">
        <f>"20/03/2005"</f>
        <v>20/03/2005</v>
      </c>
      <c r="B4786">
        <v>1</v>
      </c>
      <c r="C4786">
        <v>3000</v>
      </c>
      <c r="D4786">
        <v>55755</v>
      </c>
      <c r="E4786">
        <v>3000</v>
      </c>
      <c r="F4786">
        <v>3000</v>
      </c>
      <c r="G4786" s="1">
        <v>3.5999999999999997E-2</v>
      </c>
      <c r="H4786" s="1">
        <v>3.5499999999999997E-2</v>
      </c>
      <c r="I4786" s="1">
        <v>3.5499999999999997E-2</v>
      </c>
      <c r="J4786" s="1">
        <v>2.6100000000000002E-2</v>
      </c>
    </row>
    <row r="4787" spans="1:10" x14ac:dyDescent="0.2">
      <c r="A4787" t="str">
        <f>"17/03/2005"</f>
        <v>17/03/2005</v>
      </c>
      <c r="B4787">
        <v>3</v>
      </c>
      <c r="C4787">
        <v>3000</v>
      </c>
      <c r="D4787">
        <v>52875</v>
      </c>
      <c r="E4787">
        <v>3000</v>
      </c>
      <c r="F4787">
        <v>3000</v>
      </c>
      <c r="G4787" s="1">
        <v>3.5999999999999997E-2</v>
      </c>
      <c r="H4787" s="1">
        <v>3.56E-2</v>
      </c>
      <c r="I4787" s="1">
        <v>3.56E-2</v>
      </c>
      <c r="J4787" s="1">
        <v>3.5999999999999997E-2</v>
      </c>
    </row>
    <row r="4788" spans="1:10" x14ac:dyDescent="0.2">
      <c r="A4788" t="str">
        <f>"15/03/2005"</f>
        <v>15/03/2005</v>
      </c>
      <c r="B4788">
        <v>1</v>
      </c>
      <c r="C4788">
        <v>7000</v>
      </c>
      <c r="D4788">
        <v>88204</v>
      </c>
      <c r="E4788">
        <v>7000</v>
      </c>
      <c r="F4788">
        <v>7000</v>
      </c>
      <c r="G4788" s="1">
        <v>3.5999999999999997E-2</v>
      </c>
      <c r="H4788" s="1">
        <v>3.5999999999999997E-2</v>
      </c>
      <c r="I4788" s="1">
        <v>3.5999999999999997E-2</v>
      </c>
      <c r="J4788" s="1">
        <v>7.9299999999999995E-2</v>
      </c>
    </row>
    <row r="4789" spans="1:10" x14ac:dyDescent="0.2">
      <c r="A4789" t="str">
        <f>"14/03/2005"</f>
        <v>14/03/2005</v>
      </c>
      <c r="B4789">
        <v>1</v>
      </c>
      <c r="C4789">
        <v>9000</v>
      </c>
      <c r="D4789">
        <v>104505</v>
      </c>
      <c r="E4789">
        <v>9000</v>
      </c>
      <c r="F4789">
        <v>9000</v>
      </c>
      <c r="G4789" s="1">
        <v>3.5999999999999997E-2</v>
      </c>
      <c r="H4789" s="1">
        <v>3.5999999999999997E-2</v>
      </c>
      <c r="I4789" s="1">
        <v>3.5999999999999997E-2</v>
      </c>
      <c r="J4789" s="1">
        <v>8.6099999999999996E-2</v>
      </c>
    </row>
    <row r="4790" spans="1:10" x14ac:dyDescent="0.2">
      <c r="A4790" t="str">
        <f>"13/03/2005"</f>
        <v>13/03/2005</v>
      </c>
      <c r="B4790">
        <v>1</v>
      </c>
      <c r="C4790">
        <v>10000</v>
      </c>
      <c r="D4790">
        <v>116405</v>
      </c>
      <c r="E4790">
        <v>10000</v>
      </c>
      <c r="F4790">
        <v>10000</v>
      </c>
      <c r="G4790" s="1">
        <v>3.5999999999999997E-2</v>
      </c>
      <c r="H4790" s="1">
        <v>3.5999999999999997E-2</v>
      </c>
      <c r="I4790" s="1">
        <v>3.5999999999999997E-2</v>
      </c>
      <c r="J4790" s="1">
        <v>8.5900000000000004E-2</v>
      </c>
    </row>
    <row r="4791" spans="1:10" x14ac:dyDescent="0.2">
      <c r="A4791" t="str">
        <f>"10/03/2005"</f>
        <v>10/03/2005</v>
      </c>
      <c r="B4791">
        <v>3</v>
      </c>
      <c r="C4791">
        <v>10000</v>
      </c>
      <c r="D4791">
        <v>124004</v>
      </c>
      <c r="E4791">
        <v>10000</v>
      </c>
      <c r="F4791">
        <v>10000</v>
      </c>
      <c r="G4791" s="1">
        <v>3.5999999999999997E-2</v>
      </c>
      <c r="H4791" s="1">
        <v>3.5999999999999997E-2</v>
      </c>
      <c r="I4791" s="1">
        <v>3.5999999999999997E-2</v>
      </c>
      <c r="J4791" s="1">
        <v>8.0600000000000005E-2</v>
      </c>
    </row>
    <row r="4792" spans="1:10" x14ac:dyDescent="0.2">
      <c r="A4792" t="str">
        <f>"09/03/2005"</f>
        <v>09/03/2005</v>
      </c>
      <c r="B4792">
        <v>1</v>
      </c>
      <c r="C4792">
        <v>5000</v>
      </c>
      <c r="D4792">
        <v>79505</v>
      </c>
      <c r="E4792">
        <v>5000</v>
      </c>
      <c r="F4792">
        <v>5000</v>
      </c>
      <c r="G4792" s="1">
        <v>3.5999999999999997E-2</v>
      </c>
      <c r="H4792" s="1">
        <v>3.5999999999999997E-2</v>
      </c>
      <c r="I4792" s="1">
        <v>3.5999999999999997E-2</v>
      </c>
      <c r="J4792" s="1">
        <v>6.2799999999999995E-2</v>
      </c>
    </row>
    <row r="4793" spans="1:10" x14ac:dyDescent="0.2">
      <c r="A4793" t="str">
        <f>"08/03/2005"</f>
        <v>08/03/2005</v>
      </c>
      <c r="B4793">
        <v>1</v>
      </c>
      <c r="C4793">
        <v>5000</v>
      </c>
      <c r="D4793">
        <v>92404</v>
      </c>
      <c r="E4793">
        <v>5000</v>
      </c>
      <c r="F4793">
        <v>5000</v>
      </c>
      <c r="G4793" s="1">
        <v>3.5999999999999997E-2</v>
      </c>
      <c r="H4793" s="1">
        <v>3.5999999999999997E-2</v>
      </c>
      <c r="I4793" s="1">
        <v>3.5999999999999997E-2</v>
      </c>
      <c r="J4793" s="1">
        <v>5.4100000000000002E-2</v>
      </c>
    </row>
    <row r="4794" spans="1:10" x14ac:dyDescent="0.2">
      <c r="A4794" t="str">
        <f>"07/03/2005"</f>
        <v>07/03/2005</v>
      </c>
      <c r="B4794">
        <v>1</v>
      </c>
      <c r="C4794">
        <v>5500</v>
      </c>
      <c r="D4794">
        <v>101805</v>
      </c>
      <c r="E4794">
        <v>5500</v>
      </c>
      <c r="F4794">
        <v>5500</v>
      </c>
      <c r="G4794" s="1">
        <v>3.5999999999999997E-2</v>
      </c>
      <c r="H4794" s="1">
        <v>3.5999999999999997E-2</v>
      </c>
      <c r="I4794" s="1">
        <v>3.5999999999999997E-2</v>
      </c>
      <c r="J4794" s="1">
        <v>5.3999999999999999E-2</v>
      </c>
    </row>
    <row r="4795" spans="1:10" x14ac:dyDescent="0.2">
      <c r="A4795" t="str">
        <f>"06/03/2005"</f>
        <v>06/03/2005</v>
      </c>
      <c r="B4795">
        <v>1</v>
      </c>
      <c r="C4795">
        <v>7000</v>
      </c>
      <c r="D4795">
        <v>92504</v>
      </c>
      <c r="E4795">
        <v>7000</v>
      </c>
      <c r="F4795">
        <v>7000</v>
      </c>
      <c r="G4795" s="1">
        <v>3.5999999999999997E-2</v>
      </c>
      <c r="H4795" s="1">
        <v>3.5999999999999997E-2</v>
      </c>
      <c r="I4795" s="1">
        <v>3.5999999999999997E-2</v>
      </c>
      <c r="J4795" s="1">
        <v>7.5600000000000001E-2</v>
      </c>
    </row>
    <row r="4796" spans="1:10" x14ac:dyDescent="0.2">
      <c r="A4796" t="str">
        <f>"03/03/2005"</f>
        <v>03/03/2005</v>
      </c>
      <c r="B4796">
        <v>3</v>
      </c>
      <c r="C4796">
        <v>9500</v>
      </c>
      <c r="D4796">
        <v>101504</v>
      </c>
      <c r="E4796">
        <v>9500</v>
      </c>
      <c r="F4796">
        <v>9500</v>
      </c>
      <c r="G4796" s="1">
        <v>3.5999999999999997E-2</v>
      </c>
      <c r="H4796" s="1">
        <v>3.5999999999999997E-2</v>
      </c>
      <c r="I4796" s="1">
        <v>3.5999999999999997E-2</v>
      </c>
      <c r="J4796" s="1">
        <v>9.3600000000000003E-2</v>
      </c>
    </row>
    <row r="4797" spans="1:10" x14ac:dyDescent="0.2">
      <c r="A4797" t="str">
        <f>"02/03/2005"</f>
        <v>02/03/2005</v>
      </c>
      <c r="B4797">
        <v>1</v>
      </c>
      <c r="C4797">
        <v>12500</v>
      </c>
      <c r="D4797">
        <v>132954</v>
      </c>
      <c r="E4797">
        <v>12500</v>
      </c>
      <c r="F4797">
        <v>12500</v>
      </c>
      <c r="G4797" s="1">
        <v>3.5999999999999997E-2</v>
      </c>
      <c r="H4797" s="1">
        <v>3.5999999999999997E-2</v>
      </c>
      <c r="I4797" s="1">
        <v>3.5999999999999997E-2</v>
      </c>
      <c r="J4797" s="1">
        <v>9.4E-2</v>
      </c>
    </row>
    <row r="4798" spans="1:10" x14ac:dyDescent="0.2">
      <c r="A4798" t="str">
        <f>"01/03/2005"</f>
        <v>01/03/2005</v>
      </c>
      <c r="B4798">
        <v>1</v>
      </c>
      <c r="C4798">
        <v>11500</v>
      </c>
      <c r="D4798">
        <v>133604</v>
      </c>
      <c r="E4798">
        <v>11500</v>
      </c>
      <c r="F4798">
        <v>11500</v>
      </c>
      <c r="G4798" s="1">
        <v>3.5999999999999997E-2</v>
      </c>
      <c r="H4798" s="1">
        <v>3.5999999999999997E-2</v>
      </c>
      <c r="I4798" s="1">
        <v>3.5999999999999997E-2</v>
      </c>
      <c r="J4798" s="1">
        <v>8.5999999999999993E-2</v>
      </c>
    </row>
    <row r="4799" spans="1:10" x14ac:dyDescent="0.2">
      <c r="A4799" t="str">
        <f>"28/02/2005"</f>
        <v>28/02/2005</v>
      </c>
      <c r="B4799">
        <v>1</v>
      </c>
      <c r="C4799">
        <v>7500</v>
      </c>
      <c r="D4799">
        <v>10498</v>
      </c>
      <c r="E4799">
        <v>7500</v>
      </c>
      <c r="F4799">
        <v>7500</v>
      </c>
      <c r="G4799" s="1">
        <v>3.5999999999999997E-2</v>
      </c>
      <c r="H4799" s="1">
        <v>3.5999999999999997E-2</v>
      </c>
      <c r="I4799" s="1">
        <v>3.5999999999999997E-2</v>
      </c>
      <c r="J4799" s="1">
        <v>0.71430000000000005</v>
      </c>
    </row>
    <row r="4800" spans="1:10" x14ac:dyDescent="0.2">
      <c r="A4800" t="str">
        <f>"27/02/2005"</f>
        <v>27/02/2005</v>
      </c>
      <c r="B4800">
        <v>1</v>
      </c>
      <c r="C4800">
        <v>3500</v>
      </c>
      <c r="D4800">
        <v>49555</v>
      </c>
      <c r="E4800">
        <v>3500</v>
      </c>
      <c r="F4800">
        <v>3500</v>
      </c>
      <c r="G4800" s="1">
        <v>3.5999999999999997E-2</v>
      </c>
      <c r="H4800" s="1">
        <v>3.5999999999999997E-2</v>
      </c>
      <c r="I4800" s="1">
        <v>3.5999999999999997E-2</v>
      </c>
      <c r="J4800" s="1">
        <v>7.0499999999999993E-2</v>
      </c>
    </row>
    <row r="4801" spans="1:10" x14ac:dyDescent="0.2">
      <c r="A4801" t="str">
        <f>"24/02/2005"</f>
        <v>24/02/2005</v>
      </c>
      <c r="B4801">
        <v>3</v>
      </c>
      <c r="C4801">
        <v>3500</v>
      </c>
      <c r="D4801">
        <v>43004</v>
      </c>
      <c r="E4801">
        <v>3500</v>
      </c>
      <c r="F4801">
        <v>3500</v>
      </c>
      <c r="G4801" s="1">
        <v>3.5999999999999997E-2</v>
      </c>
      <c r="H4801" s="1">
        <v>3.5999999999999997E-2</v>
      </c>
      <c r="I4801" s="1">
        <v>3.5999999999999997E-2</v>
      </c>
      <c r="J4801" s="1">
        <v>8.1299999999999997E-2</v>
      </c>
    </row>
    <row r="4802" spans="1:10" x14ac:dyDescent="0.2">
      <c r="A4802" t="str">
        <f>"23/02/2005"</f>
        <v>23/02/2005</v>
      </c>
      <c r="B4802">
        <v>1</v>
      </c>
      <c r="C4802">
        <v>2500</v>
      </c>
      <c r="D4802">
        <v>2240</v>
      </c>
      <c r="E4802">
        <v>2240</v>
      </c>
      <c r="F4802">
        <v>2240</v>
      </c>
      <c r="G4802" s="1">
        <v>3.5999999999999997E-2</v>
      </c>
      <c r="H4802" s="1">
        <v>3.5999999999999997E-2</v>
      </c>
      <c r="I4802" s="1">
        <v>3.5999999999999997E-2</v>
      </c>
      <c r="J4802" s="1">
        <v>1</v>
      </c>
    </row>
    <row r="4803" spans="1:10" x14ac:dyDescent="0.2">
      <c r="A4803" t="str">
        <f>"22/02/2005"</f>
        <v>22/02/2005</v>
      </c>
      <c r="B4803">
        <v>1</v>
      </c>
      <c r="C4803">
        <v>3000</v>
      </c>
      <c r="D4803">
        <v>29675</v>
      </c>
      <c r="E4803">
        <v>3000</v>
      </c>
      <c r="F4803">
        <v>3000</v>
      </c>
      <c r="G4803" s="1">
        <v>3.5999999999999997E-2</v>
      </c>
      <c r="H4803" s="1">
        <v>3.5799999999999998E-2</v>
      </c>
      <c r="I4803" s="1">
        <v>3.5799999999999998E-2</v>
      </c>
      <c r="J4803" s="1">
        <v>8.0199999999999994E-2</v>
      </c>
    </row>
    <row r="4804" spans="1:10" x14ac:dyDescent="0.2">
      <c r="A4804" t="str">
        <f>"21/02/2005"</f>
        <v>21/02/2005</v>
      </c>
      <c r="B4804">
        <v>1</v>
      </c>
      <c r="C4804">
        <v>6000</v>
      </c>
      <c r="D4804">
        <v>38905</v>
      </c>
      <c r="E4804">
        <v>6000</v>
      </c>
      <c r="F4804">
        <v>6000</v>
      </c>
      <c r="G4804" s="1">
        <v>3.5999999999999997E-2</v>
      </c>
      <c r="H4804" s="1">
        <v>3.5999999999999997E-2</v>
      </c>
      <c r="I4804" s="1">
        <v>3.5999999999999997E-2</v>
      </c>
      <c r="J4804" s="1">
        <v>0.15409999999999999</v>
      </c>
    </row>
    <row r="4805" spans="1:10" x14ac:dyDescent="0.2">
      <c r="A4805" t="str">
        <f>"20/02/2005"</f>
        <v>20/02/2005</v>
      </c>
      <c r="B4805">
        <v>1</v>
      </c>
      <c r="C4805">
        <v>7000</v>
      </c>
      <c r="D4805">
        <v>53805</v>
      </c>
      <c r="E4805">
        <v>7000</v>
      </c>
      <c r="F4805">
        <v>7000</v>
      </c>
      <c r="G4805" s="1">
        <v>3.5999999999999997E-2</v>
      </c>
      <c r="H4805" s="1">
        <v>3.5999999999999997E-2</v>
      </c>
      <c r="I4805" s="1">
        <v>3.5999999999999997E-2</v>
      </c>
      <c r="J4805" s="1">
        <v>0.13</v>
      </c>
    </row>
    <row r="4806" spans="1:10" x14ac:dyDescent="0.2">
      <c r="A4806" t="str">
        <f>"17/02/2005"</f>
        <v>17/02/2005</v>
      </c>
      <c r="B4806">
        <v>3</v>
      </c>
      <c r="C4806">
        <v>7000</v>
      </c>
      <c r="D4806">
        <v>75155</v>
      </c>
      <c r="E4806">
        <v>7000</v>
      </c>
      <c r="F4806">
        <v>7000</v>
      </c>
      <c r="G4806" s="1">
        <v>3.5999999999999997E-2</v>
      </c>
      <c r="H4806" s="1">
        <v>3.5999999999999997E-2</v>
      </c>
      <c r="I4806" s="1">
        <v>3.5999999999999997E-2</v>
      </c>
      <c r="J4806" s="1">
        <v>9.3100000000000002E-2</v>
      </c>
    </row>
    <row r="4807" spans="1:10" x14ac:dyDescent="0.2">
      <c r="A4807" t="str">
        <f>"16/02/2005"</f>
        <v>16/02/2005</v>
      </c>
      <c r="B4807">
        <v>1</v>
      </c>
      <c r="C4807">
        <v>7000</v>
      </c>
      <c r="D4807">
        <v>75704</v>
      </c>
      <c r="E4807">
        <v>7000</v>
      </c>
      <c r="F4807">
        <v>7000</v>
      </c>
      <c r="G4807" s="1">
        <v>3.5999999999999997E-2</v>
      </c>
      <c r="H4807" s="1">
        <v>3.5999999999999997E-2</v>
      </c>
      <c r="I4807" s="1">
        <v>3.5999999999999997E-2</v>
      </c>
      <c r="J4807" s="1">
        <v>9.2399999999999996E-2</v>
      </c>
    </row>
    <row r="4808" spans="1:10" x14ac:dyDescent="0.2">
      <c r="A4808" t="str">
        <f>"15/02/2005"</f>
        <v>15/02/2005</v>
      </c>
      <c r="B4808">
        <v>1</v>
      </c>
      <c r="C4808">
        <v>14500</v>
      </c>
      <c r="D4808">
        <v>147805</v>
      </c>
      <c r="E4808">
        <v>14500</v>
      </c>
      <c r="F4808">
        <v>14500</v>
      </c>
      <c r="G4808" s="1">
        <v>3.5999999999999997E-2</v>
      </c>
      <c r="H4808" s="1">
        <v>3.5999999999999997E-2</v>
      </c>
      <c r="I4808" s="1">
        <v>3.5999999999999997E-2</v>
      </c>
      <c r="J4808" s="1">
        <v>9.8100000000000007E-2</v>
      </c>
    </row>
    <row r="4809" spans="1:10" x14ac:dyDescent="0.2">
      <c r="A4809" t="str">
        <f>"14/02/2005"</f>
        <v>14/02/2005</v>
      </c>
      <c r="B4809">
        <v>1</v>
      </c>
      <c r="C4809">
        <v>15000</v>
      </c>
      <c r="D4809">
        <v>156905</v>
      </c>
      <c r="E4809">
        <v>15000</v>
      </c>
      <c r="F4809">
        <v>15000</v>
      </c>
      <c r="G4809" s="1">
        <v>3.5999999999999997E-2</v>
      </c>
      <c r="H4809" s="1">
        <v>3.5999999999999997E-2</v>
      </c>
      <c r="I4809" s="1">
        <v>3.5999999999999997E-2</v>
      </c>
      <c r="J4809" s="1">
        <v>9.5600000000000004E-2</v>
      </c>
    </row>
    <row r="4810" spans="1:10" x14ac:dyDescent="0.2">
      <c r="A4810" t="str">
        <f>"13/02/2005"</f>
        <v>13/02/2005</v>
      </c>
      <c r="B4810">
        <v>1</v>
      </c>
      <c r="C4810">
        <v>15000</v>
      </c>
      <c r="D4810">
        <v>166106</v>
      </c>
      <c r="E4810">
        <v>15000</v>
      </c>
      <c r="F4810">
        <v>15000</v>
      </c>
      <c r="G4810" s="1">
        <v>3.5999999999999997E-2</v>
      </c>
      <c r="H4810" s="1">
        <v>3.5999999999999997E-2</v>
      </c>
      <c r="I4810" s="1">
        <v>3.5999999999999997E-2</v>
      </c>
      <c r="J4810" s="1">
        <v>9.0300000000000005E-2</v>
      </c>
    </row>
    <row r="4811" spans="1:10" x14ac:dyDescent="0.2">
      <c r="A4811" t="str">
        <f>"10/02/2005"</f>
        <v>10/02/2005</v>
      </c>
      <c r="B4811">
        <v>3</v>
      </c>
      <c r="C4811">
        <v>15500</v>
      </c>
      <c r="D4811">
        <v>182205</v>
      </c>
      <c r="E4811">
        <v>15500</v>
      </c>
      <c r="F4811">
        <v>15500</v>
      </c>
      <c r="G4811" s="1">
        <v>3.5999999999999997E-2</v>
      </c>
      <c r="H4811" s="1">
        <v>3.5999999999999997E-2</v>
      </c>
      <c r="I4811" s="1">
        <v>3.5999999999999997E-2</v>
      </c>
      <c r="J4811" s="1">
        <v>8.5000000000000006E-2</v>
      </c>
    </row>
    <row r="4812" spans="1:10" x14ac:dyDescent="0.2">
      <c r="A4812" t="str">
        <f>"09/02/2005"</f>
        <v>09/02/2005</v>
      </c>
      <c r="B4812">
        <v>1</v>
      </c>
      <c r="C4812">
        <v>9500</v>
      </c>
      <c r="D4812">
        <v>99406</v>
      </c>
      <c r="E4812">
        <v>9500</v>
      </c>
      <c r="F4812">
        <v>9500</v>
      </c>
      <c r="G4812" s="1">
        <v>3.5999999999999997E-2</v>
      </c>
      <c r="H4812" s="1">
        <v>3.5999999999999997E-2</v>
      </c>
      <c r="I4812" s="1">
        <v>3.5999999999999997E-2</v>
      </c>
      <c r="J4812" s="1">
        <v>9.5500000000000002E-2</v>
      </c>
    </row>
    <row r="4813" spans="1:10" x14ac:dyDescent="0.2">
      <c r="A4813" t="str">
        <f>"08/02/2005"</f>
        <v>08/02/2005</v>
      </c>
      <c r="B4813">
        <v>1</v>
      </c>
      <c r="C4813">
        <v>9500</v>
      </c>
      <c r="D4813">
        <v>117256</v>
      </c>
      <c r="E4813">
        <v>9500</v>
      </c>
      <c r="F4813">
        <v>9500</v>
      </c>
      <c r="G4813" s="1">
        <v>3.5999999999999997E-2</v>
      </c>
      <c r="H4813" s="1">
        <v>3.5999999999999997E-2</v>
      </c>
      <c r="I4813" s="1">
        <v>3.5999999999999997E-2</v>
      </c>
      <c r="J4813" s="1">
        <v>8.1000000000000003E-2</v>
      </c>
    </row>
    <row r="4814" spans="1:10" x14ac:dyDescent="0.2">
      <c r="A4814" t="str">
        <f>"07/02/2005"</f>
        <v>07/02/2005</v>
      </c>
      <c r="B4814">
        <v>1</v>
      </c>
      <c r="C4814">
        <v>9500</v>
      </c>
      <c r="D4814">
        <v>136306</v>
      </c>
      <c r="E4814">
        <v>9500</v>
      </c>
      <c r="F4814">
        <v>9500</v>
      </c>
      <c r="G4814" s="1">
        <v>3.5999999999999997E-2</v>
      </c>
      <c r="H4814" s="1">
        <v>3.5999999999999997E-2</v>
      </c>
      <c r="I4814" s="1">
        <v>3.5999999999999997E-2</v>
      </c>
      <c r="J4814" s="1">
        <v>6.9699999999999998E-2</v>
      </c>
    </row>
    <row r="4815" spans="1:10" x14ac:dyDescent="0.2">
      <c r="A4815" t="str">
        <f>"06/02/2005"</f>
        <v>06/02/2005</v>
      </c>
      <c r="B4815">
        <v>1</v>
      </c>
      <c r="C4815">
        <v>11000</v>
      </c>
      <c r="D4815">
        <v>134005</v>
      </c>
      <c r="E4815">
        <v>11000</v>
      </c>
      <c r="F4815">
        <v>11000</v>
      </c>
      <c r="G4815" s="1">
        <v>3.5999999999999997E-2</v>
      </c>
      <c r="H4815" s="1">
        <v>3.5999999999999997E-2</v>
      </c>
      <c r="I4815" s="1">
        <v>3.5999999999999997E-2</v>
      </c>
      <c r="J4815" s="1">
        <v>8.2100000000000006E-2</v>
      </c>
    </row>
    <row r="4816" spans="1:10" x14ac:dyDescent="0.2">
      <c r="A4816" t="str">
        <f>"03/02/2005"</f>
        <v>03/02/2005</v>
      </c>
      <c r="B4816">
        <v>3</v>
      </c>
      <c r="C4816">
        <v>11000</v>
      </c>
      <c r="D4816">
        <v>145505</v>
      </c>
      <c r="E4816">
        <v>11000</v>
      </c>
      <c r="F4816">
        <v>11000</v>
      </c>
      <c r="G4816" s="1">
        <v>3.5999999999999997E-2</v>
      </c>
      <c r="H4816" s="1">
        <v>3.5999999999999997E-2</v>
      </c>
      <c r="I4816" s="1">
        <v>3.5999999999999997E-2</v>
      </c>
      <c r="J4816" s="1">
        <v>7.5600000000000001E-2</v>
      </c>
    </row>
    <row r="4817" spans="1:10" x14ac:dyDescent="0.2">
      <c r="A4817" t="str">
        <f>"02/02/2005"</f>
        <v>02/02/2005</v>
      </c>
      <c r="B4817">
        <v>1</v>
      </c>
      <c r="C4817">
        <v>15000</v>
      </c>
      <c r="D4817">
        <v>191605</v>
      </c>
      <c r="E4817">
        <v>15000</v>
      </c>
      <c r="F4817">
        <v>15000</v>
      </c>
      <c r="G4817" s="1">
        <v>3.5999999999999997E-2</v>
      </c>
      <c r="H4817" s="1">
        <v>3.5999999999999997E-2</v>
      </c>
      <c r="I4817" s="1">
        <v>3.5999999999999997E-2</v>
      </c>
      <c r="J4817" s="1">
        <v>7.6600000000000001E-2</v>
      </c>
    </row>
    <row r="4818" spans="1:10" x14ac:dyDescent="0.2">
      <c r="A4818" t="str">
        <f>"01/02/2005"</f>
        <v>01/02/2005</v>
      </c>
      <c r="B4818">
        <v>1</v>
      </c>
      <c r="C4818">
        <v>13000</v>
      </c>
      <c r="D4818">
        <v>153504</v>
      </c>
      <c r="E4818">
        <v>13000</v>
      </c>
      <c r="F4818">
        <v>13000</v>
      </c>
      <c r="G4818" s="1">
        <v>3.5999999999999997E-2</v>
      </c>
      <c r="H4818" s="1">
        <v>3.5999999999999997E-2</v>
      </c>
      <c r="I4818" s="1">
        <v>3.5999999999999997E-2</v>
      </c>
      <c r="J4818" s="1">
        <v>8.2600000000000007E-2</v>
      </c>
    </row>
    <row r="4819" spans="1:10" x14ac:dyDescent="0.2">
      <c r="A4819" t="str">
        <f>"31/01/2005"</f>
        <v>31/01/2005</v>
      </c>
      <c r="B4819">
        <v>1</v>
      </c>
      <c r="C4819">
        <v>9500</v>
      </c>
      <c r="D4819">
        <v>15613</v>
      </c>
      <c r="E4819">
        <v>9500</v>
      </c>
      <c r="F4819">
        <v>9500</v>
      </c>
      <c r="G4819" s="1">
        <v>3.5999999999999997E-2</v>
      </c>
      <c r="H4819" s="1">
        <v>3.5999999999999997E-2</v>
      </c>
      <c r="I4819" s="1">
        <v>3.5999999999999997E-2</v>
      </c>
      <c r="J4819" s="1">
        <v>0.60829999999999995</v>
      </c>
    </row>
    <row r="4820" spans="1:10" x14ac:dyDescent="0.2">
      <c r="A4820" t="str">
        <f>"30/01/2005"</f>
        <v>30/01/2005</v>
      </c>
      <c r="B4820">
        <v>1</v>
      </c>
      <c r="C4820">
        <v>4500</v>
      </c>
      <c r="D4820">
        <v>60305</v>
      </c>
      <c r="E4820">
        <v>4500</v>
      </c>
      <c r="F4820">
        <v>4500</v>
      </c>
      <c r="G4820" s="1">
        <v>3.5999999999999997E-2</v>
      </c>
      <c r="H4820" s="1">
        <v>3.5999999999999997E-2</v>
      </c>
      <c r="I4820" s="1">
        <v>3.5999999999999997E-2</v>
      </c>
      <c r="J4820" s="1">
        <v>7.1499999999999994E-2</v>
      </c>
    </row>
    <row r="4821" spans="1:10" x14ac:dyDescent="0.2">
      <c r="A4821" t="str">
        <f>"27/01/2005"</f>
        <v>27/01/2005</v>
      </c>
      <c r="B4821">
        <v>3</v>
      </c>
      <c r="C4821">
        <v>3500</v>
      </c>
      <c r="D4821">
        <v>53405</v>
      </c>
      <c r="E4821">
        <v>3500</v>
      </c>
      <c r="F4821">
        <v>3500</v>
      </c>
      <c r="G4821" s="1">
        <v>3.5999999999999997E-2</v>
      </c>
      <c r="H4821" s="1">
        <v>3.5900000000000001E-2</v>
      </c>
      <c r="I4821" s="1">
        <v>3.5900000000000001E-2</v>
      </c>
      <c r="J4821" s="1">
        <v>6.0199999999999997E-2</v>
      </c>
    </row>
    <row r="4822" spans="1:10" x14ac:dyDescent="0.2">
      <c r="A4822" t="str">
        <f>"26/01/2005"</f>
        <v>26/01/2005</v>
      </c>
      <c r="B4822">
        <v>1</v>
      </c>
      <c r="C4822">
        <v>3500</v>
      </c>
      <c r="D4822">
        <v>8757</v>
      </c>
      <c r="E4822">
        <v>3500</v>
      </c>
      <c r="F4822">
        <v>3500</v>
      </c>
      <c r="G4822" s="1">
        <v>3.7999999999999999E-2</v>
      </c>
      <c r="H4822" s="1">
        <v>3.7999999999999999E-2</v>
      </c>
      <c r="I4822" s="1">
        <v>3.7999999999999999E-2</v>
      </c>
      <c r="J4822" s="1">
        <v>0.3992</v>
      </c>
    </row>
    <row r="4823" spans="1:10" x14ac:dyDescent="0.2">
      <c r="A4823" t="str">
        <f>"25/01/2005"</f>
        <v>25/01/2005</v>
      </c>
      <c r="B4823">
        <v>1</v>
      </c>
      <c r="C4823">
        <v>3000</v>
      </c>
      <c r="D4823">
        <v>28327</v>
      </c>
      <c r="E4823">
        <v>3000</v>
      </c>
      <c r="F4823">
        <v>3000</v>
      </c>
      <c r="G4823" s="1">
        <v>3.7999999999999999E-2</v>
      </c>
      <c r="H4823" s="1">
        <v>3.7900000000000003E-2</v>
      </c>
      <c r="I4823" s="1">
        <v>3.7900000000000003E-2</v>
      </c>
      <c r="J4823" s="1">
        <v>9.5500000000000002E-2</v>
      </c>
    </row>
    <row r="4824" spans="1:10" x14ac:dyDescent="0.2">
      <c r="A4824" t="str">
        <f>"23/01/2005"</f>
        <v>23/01/2005</v>
      </c>
      <c r="B4824">
        <v>1</v>
      </c>
      <c r="C4824">
        <v>4500</v>
      </c>
      <c r="D4824">
        <v>65007</v>
      </c>
      <c r="E4824">
        <v>4500</v>
      </c>
      <c r="F4824">
        <v>4500</v>
      </c>
      <c r="G4824" s="1">
        <v>3.7999999999999999E-2</v>
      </c>
      <c r="H4824" s="1">
        <v>3.7999999999999999E-2</v>
      </c>
      <c r="I4824" s="1">
        <v>3.7999999999999999E-2</v>
      </c>
      <c r="J4824" s="1">
        <v>6.7699999999999996E-2</v>
      </c>
    </row>
    <row r="4825" spans="1:10" x14ac:dyDescent="0.2">
      <c r="A4825" t="str">
        <f>"20/01/2005"</f>
        <v>20/01/2005</v>
      </c>
      <c r="B4825">
        <v>3</v>
      </c>
      <c r="C4825">
        <v>5500</v>
      </c>
      <c r="D4825">
        <v>76207</v>
      </c>
      <c r="E4825">
        <v>5500</v>
      </c>
      <c r="F4825">
        <v>5500</v>
      </c>
      <c r="G4825" s="1">
        <v>3.7999999999999999E-2</v>
      </c>
      <c r="H4825" s="1">
        <v>3.7900000000000003E-2</v>
      </c>
      <c r="I4825" s="1">
        <v>3.7900000000000003E-2</v>
      </c>
      <c r="J4825" s="1">
        <v>6.4699999999999994E-2</v>
      </c>
    </row>
    <row r="4826" spans="1:10" x14ac:dyDescent="0.2">
      <c r="A4826" t="str">
        <f>"19/01/2005"</f>
        <v>19/01/2005</v>
      </c>
      <c r="B4826">
        <v>1</v>
      </c>
      <c r="C4826">
        <v>4500</v>
      </c>
      <c r="D4826">
        <v>74107</v>
      </c>
      <c r="E4826">
        <v>4500</v>
      </c>
      <c r="F4826">
        <v>4500</v>
      </c>
      <c r="G4826" s="1">
        <v>3.7999999999999999E-2</v>
      </c>
      <c r="H4826" s="1">
        <v>3.78E-2</v>
      </c>
      <c r="I4826" s="1">
        <v>3.78E-2</v>
      </c>
      <c r="J4826" s="1">
        <v>5.04E-2</v>
      </c>
    </row>
    <row r="4827" spans="1:10" x14ac:dyDescent="0.2">
      <c r="A4827" t="str">
        <f>"18/01/2005"</f>
        <v>18/01/2005</v>
      </c>
      <c r="B4827">
        <v>1</v>
      </c>
      <c r="C4827">
        <v>5000</v>
      </c>
      <c r="D4827">
        <v>109007</v>
      </c>
      <c r="E4827">
        <v>5000</v>
      </c>
      <c r="F4827">
        <v>5000</v>
      </c>
      <c r="G4827" s="1">
        <v>3.7999999999999999E-2</v>
      </c>
      <c r="H4827" s="1">
        <v>3.7900000000000003E-2</v>
      </c>
      <c r="I4827" s="1">
        <v>3.7900000000000003E-2</v>
      </c>
      <c r="J4827" s="1">
        <v>4.1399999999999999E-2</v>
      </c>
    </row>
    <row r="4828" spans="1:10" x14ac:dyDescent="0.2">
      <c r="A4828" t="str">
        <f>"17/01/2005"</f>
        <v>17/01/2005</v>
      </c>
      <c r="B4828">
        <v>1</v>
      </c>
      <c r="C4828">
        <v>8500</v>
      </c>
      <c r="D4828">
        <v>156977</v>
      </c>
      <c r="E4828">
        <v>8500</v>
      </c>
      <c r="F4828">
        <v>8500</v>
      </c>
      <c r="G4828" s="1">
        <v>3.7999999999999999E-2</v>
      </c>
      <c r="H4828" s="1">
        <v>3.7999999999999999E-2</v>
      </c>
      <c r="I4828" s="1">
        <v>3.7999999999999999E-2</v>
      </c>
      <c r="J4828" s="1">
        <v>5.4100000000000002E-2</v>
      </c>
    </row>
    <row r="4829" spans="1:10" x14ac:dyDescent="0.2">
      <c r="A4829" t="str">
        <f>"16/01/2005"</f>
        <v>16/01/2005</v>
      </c>
      <c r="B4829">
        <v>1</v>
      </c>
      <c r="C4829">
        <v>14000</v>
      </c>
      <c r="D4829">
        <v>244677</v>
      </c>
      <c r="E4829">
        <v>14000</v>
      </c>
      <c r="F4829">
        <v>14000</v>
      </c>
      <c r="G4829" s="1">
        <v>3.7999999999999999E-2</v>
      </c>
      <c r="H4829" s="1">
        <v>3.7999999999999999E-2</v>
      </c>
      <c r="I4829" s="1">
        <v>3.7999999999999999E-2</v>
      </c>
      <c r="J4829" s="1">
        <v>5.7200000000000001E-2</v>
      </c>
    </row>
    <row r="4830" spans="1:10" x14ac:dyDescent="0.2">
      <c r="A4830" t="str">
        <f>"13/01/2005"</f>
        <v>13/01/2005</v>
      </c>
      <c r="B4830">
        <v>3</v>
      </c>
      <c r="C4830">
        <v>15000</v>
      </c>
      <c r="D4830">
        <v>261374</v>
      </c>
      <c r="E4830">
        <v>15000</v>
      </c>
      <c r="F4830">
        <v>15000</v>
      </c>
      <c r="G4830" s="1">
        <v>3.7999999999999999E-2</v>
      </c>
      <c r="H4830" s="1">
        <v>3.7999999999999999E-2</v>
      </c>
      <c r="I4830" s="1">
        <v>3.7999999999999999E-2</v>
      </c>
      <c r="J4830" s="1">
        <v>5.74E-2</v>
      </c>
    </row>
    <row r="4831" spans="1:10" x14ac:dyDescent="0.2">
      <c r="A4831" t="str">
        <f>"12/01/2005"</f>
        <v>12/01/2005</v>
      </c>
      <c r="B4831">
        <v>1</v>
      </c>
      <c r="C4831">
        <v>6000</v>
      </c>
      <c r="D4831">
        <v>123207</v>
      </c>
      <c r="E4831">
        <v>6000</v>
      </c>
      <c r="F4831">
        <v>6000</v>
      </c>
      <c r="G4831" s="1">
        <v>3.7999999999999999E-2</v>
      </c>
      <c r="H4831" s="1">
        <v>3.7999999999999999E-2</v>
      </c>
      <c r="I4831" s="1">
        <v>3.7999999999999999E-2</v>
      </c>
      <c r="J4831" s="1">
        <v>4.8599999999999997E-2</v>
      </c>
    </row>
    <row r="4832" spans="1:10" x14ac:dyDescent="0.2">
      <c r="A4832" t="str">
        <f>"11/01/2005"</f>
        <v>11/01/2005</v>
      </c>
      <c r="B4832">
        <v>1</v>
      </c>
      <c r="C4832">
        <v>7000</v>
      </c>
      <c r="D4832">
        <v>116077</v>
      </c>
      <c r="E4832">
        <v>7000</v>
      </c>
      <c r="F4832">
        <v>7000</v>
      </c>
      <c r="G4832" s="1">
        <v>3.7999999999999999E-2</v>
      </c>
      <c r="H4832" s="1">
        <v>3.7999999999999999E-2</v>
      </c>
      <c r="I4832" s="1">
        <v>3.7999999999999999E-2</v>
      </c>
      <c r="J4832" s="1">
        <v>6.0199999999999997E-2</v>
      </c>
    </row>
    <row r="4833" spans="1:10" x14ac:dyDescent="0.2">
      <c r="A4833" t="str">
        <f>"10/01/2005"</f>
        <v>10/01/2005</v>
      </c>
      <c r="B4833">
        <v>1</v>
      </c>
      <c r="C4833">
        <v>7500</v>
      </c>
      <c r="D4833">
        <v>147267</v>
      </c>
      <c r="E4833">
        <v>7500</v>
      </c>
      <c r="F4833">
        <v>7500</v>
      </c>
      <c r="G4833" s="1">
        <v>3.7999999999999999E-2</v>
      </c>
      <c r="H4833" s="1">
        <v>3.7999999999999999E-2</v>
      </c>
      <c r="I4833" s="1">
        <v>3.7999999999999999E-2</v>
      </c>
      <c r="J4833" s="1">
        <v>5.0900000000000001E-2</v>
      </c>
    </row>
    <row r="4834" spans="1:10" x14ac:dyDescent="0.2">
      <c r="A4834" t="str">
        <f>"09/01/2005"</f>
        <v>09/01/2005</v>
      </c>
      <c r="B4834">
        <v>1</v>
      </c>
      <c r="C4834">
        <v>8500</v>
      </c>
      <c r="D4834">
        <v>174638</v>
      </c>
      <c r="E4834">
        <v>8500</v>
      </c>
      <c r="F4834">
        <v>8500</v>
      </c>
      <c r="G4834" s="1">
        <v>3.7999999999999999E-2</v>
      </c>
      <c r="H4834" s="1">
        <v>3.7999999999999999E-2</v>
      </c>
      <c r="I4834" s="1">
        <v>3.7999999999999999E-2</v>
      </c>
      <c r="J4834" s="1">
        <v>4.8599999999999997E-2</v>
      </c>
    </row>
    <row r="4835" spans="1:10" x14ac:dyDescent="0.2">
      <c r="A4835" t="str">
        <f>"06/01/2005"</f>
        <v>06/01/2005</v>
      </c>
      <c r="B4835">
        <v>3</v>
      </c>
      <c r="C4835">
        <v>8500</v>
      </c>
      <c r="D4835">
        <v>184808</v>
      </c>
      <c r="E4835">
        <v>8500</v>
      </c>
      <c r="F4835">
        <v>8500</v>
      </c>
      <c r="G4835" s="1">
        <v>3.7999999999999999E-2</v>
      </c>
      <c r="H4835" s="1">
        <v>3.7999999999999999E-2</v>
      </c>
      <c r="I4835" s="1">
        <v>3.7999999999999999E-2</v>
      </c>
      <c r="J4835" s="1">
        <v>4.5999999999999999E-2</v>
      </c>
    </row>
    <row r="4836" spans="1:10" x14ac:dyDescent="0.2">
      <c r="A4836" t="str">
        <f>"05/01/2005"</f>
        <v>05/01/2005</v>
      </c>
      <c r="B4836">
        <v>1</v>
      </c>
      <c r="C4836">
        <v>13500</v>
      </c>
      <c r="D4836">
        <v>239188</v>
      </c>
      <c r="E4836">
        <v>13500</v>
      </c>
      <c r="F4836">
        <v>13500</v>
      </c>
      <c r="G4836" s="1">
        <v>3.7999999999999999E-2</v>
      </c>
      <c r="H4836" s="1">
        <v>3.7999999999999999E-2</v>
      </c>
      <c r="I4836" s="1">
        <v>3.7999999999999999E-2</v>
      </c>
      <c r="J4836" s="1">
        <v>5.6399999999999999E-2</v>
      </c>
    </row>
    <row r="4837" spans="1:10" x14ac:dyDescent="0.2">
      <c r="A4837" t="str">
        <f>"04/01/2005"</f>
        <v>04/01/2005</v>
      </c>
      <c r="B4837">
        <v>1</v>
      </c>
      <c r="C4837">
        <v>11500</v>
      </c>
      <c r="D4837">
        <v>218408</v>
      </c>
      <c r="E4837">
        <v>11500</v>
      </c>
      <c r="F4837">
        <v>11500</v>
      </c>
      <c r="G4837" s="1">
        <v>3.7999999999999999E-2</v>
      </c>
      <c r="H4837" s="1">
        <v>3.7999999999999999E-2</v>
      </c>
      <c r="I4837" s="1">
        <v>3.7999999999999999E-2</v>
      </c>
      <c r="J4837" s="1">
        <v>5.2600000000000001E-2</v>
      </c>
    </row>
    <row r="4838" spans="1:10" x14ac:dyDescent="0.2">
      <c r="A4838" t="str">
        <f>"03/01/2005"</f>
        <v>03/01/2005</v>
      </c>
      <c r="B4838">
        <v>1</v>
      </c>
      <c r="C4838">
        <v>14000</v>
      </c>
      <c r="D4838">
        <v>222108</v>
      </c>
      <c r="E4838">
        <v>14000</v>
      </c>
      <c r="F4838">
        <v>14000</v>
      </c>
      <c r="G4838" s="1">
        <v>3.7999999999999999E-2</v>
      </c>
      <c r="H4838" s="1">
        <v>3.7999999999999999E-2</v>
      </c>
      <c r="I4838" s="1">
        <v>3.7999999999999999E-2</v>
      </c>
      <c r="J4838" s="1">
        <v>6.3E-2</v>
      </c>
    </row>
    <row r="4839" spans="1:10" x14ac:dyDescent="0.2">
      <c r="A4839" t="str">
        <f>"02/01/2005"</f>
        <v>02/01/2005</v>
      </c>
      <c r="B4839">
        <v>1</v>
      </c>
      <c r="C4839">
        <v>14500</v>
      </c>
      <c r="D4839">
        <v>208007</v>
      </c>
      <c r="E4839">
        <v>14500</v>
      </c>
      <c r="F4839">
        <v>14500</v>
      </c>
      <c r="G4839" s="1">
        <v>3.7999999999999999E-2</v>
      </c>
      <c r="H4839" s="1">
        <v>3.7999999999999999E-2</v>
      </c>
      <c r="I4839" s="1">
        <v>3.7999999999999999E-2</v>
      </c>
      <c r="J4839" s="1">
        <v>6.9699999999999998E-2</v>
      </c>
    </row>
    <row r="4840" spans="1:10" x14ac:dyDescent="0.2">
      <c r="A4840" t="str">
        <f>"30/12/2004"</f>
        <v>30/12/2004</v>
      </c>
      <c r="B4840">
        <v>3</v>
      </c>
      <c r="C4840">
        <v>8000</v>
      </c>
      <c r="D4840">
        <v>11307</v>
      </c>
      <c r="E4840">
        <v>8000</v>
      </c>
      <c r="F4840">
        <v>8000</v>
      </c>
      <c r="G4840" s="1">
        <v>3.7999999999999999E-2</v>
      </c>
      <c r="H4840" s="1">
        <v>3.7999999999999999E-2</v>
      </c>
      <c r="I4840" s="1">
        <v>3.7999999999999999E-2</v>
      </c>
      <c r="J4840" s="1">
        <v>0.70150000000000001</v>
      </c>
    </row>
    <row r="4841" spans="1:10" x14ac:dyDescent="0.2">
      <c r="A4841" t="str">
        <f>"29/12/2004"</f>
        <v>29/12/2004</v>
      </c>
      <c r="B4841">
        <v>1</v>
      </c>
      <c r="C4841">
        <v>9000</v>
      </c>
      <c r="D4841">
        <v>10998</v>
      </c>
      <c r="E4841">
        <v>9000</v>
      </c>
      <c r="F4841">
        <v>9000</v>
      </c>
      <c r="G4841" s="1">
        <v>0.04</v>
      </c>
      <c r="H4841" s="1">
        <v>0.04</v>
      </c>
      <c r="I4841" s="1">
        <v>0.04</v>
      </c>
      <c r="J4841" s="1">
        <v>0.81820000000000004</v>
      </c>
    </row>
    <row r="4842" spans="1:10" x14ac:dyDescent="0.2">
      <c r="A4842" t="str">
        <f>"28/12/2004"</f>
        <v>28/12/2004</v>
      </c>
      <c r="B4842">
        <v>1</v>
      </c>
      <c r="C4842">
        <v>8500</v>
      </c>
      <c r="D4842">
        <v>94508</v>
      </c>
      <c r="E4842">
        <v>8500</v>
      </c>
      <c r="F4842">
        <v>8500</v>
      </c>
      <c r="G4842" s="1">
        <v>0.04</v>
      </c>
      <c r="H4842" s="1">
        <v>3.9800000000000002E-2</v>
      </c>
      <c r="I4842" s="1">
        <v>3.9800000000000002E-2</v>
      </c>
      <c r="J4842" s="1">
        <v>7.5200000000000003E-2</v>
      </c>
    </row>
    <row r="4843" spans="1:10" x14ac:dyDescent="0.2">
      <c r="A4843" t="str">
        <f>"27/12/2004"</f>
        <v>27/12/2004</v>
      </c>
      <c r="B4843">
        <v>1</v>
      </c>
      <c r="C4843">
        <v>7500</v>
      </c>
      <c r="D4843">
        <v>118817</v>
      </c>
      <c r="E4843">
        <v>7500</v>
      </c>
      <c r="F4843">
        <v>7500</v>
      </c>
      <c r="G4843" s="1">
        <v>0.04</v>
      </c>
      <c r="H4843" s="1">
        <v>3.9800000000000002E-2</v>
      </c>
      <c r="I4843" s="1">
        <v>3.9800000000000002E-2</v>
      </c>
      <c r="J4843" s="1">
        <v>4.9099999999999998E-2</v>
      </c>
    </row>
    <row r="4844" spans="1:10" x14ac:dyDescent="0.2">
      <c r="A4844" t="str">
        <f>"26/12/2004"</f>
        <v>26/12/2004</v>
      </c>
      <c r="B4844">
        <v>1</v>
      </c>
      <c r="C4844">
        <v>8000</v>
      </c>
      <c r="D4844">
        <v>140507</v>
      </c>
      <c r="E4844">
        <v>8000</v>
      </c>
      <c r="F4844">
        <v>8000</v>
      </c>
      <c r="G4844" s="1">
        <v>0.04</v>
      </c>
      <c r="H4844" s="1">
        <v>3.9800000000000002E-2</v>
      </c>
      <c r="I4844" s="1">
        <v>3.9800000000000002E-2</v>
      </c>
      <c r="J4844" s="1">
        <v>4.6699999999999998E-2</v>
      </c>
    </row>
    <row r="4845" spans="1:10" x14ac:dyDescent="0.2">
      <c r="A4845" t="str">
        <f>"23/12/2004"</f>
        <v>23/12/2004</v>
      </c>
      <c r="B4845">
        <v>3</v>
      </c>
      <c r="C4845">
        <v>6000</v>
      </c>
      <c r="D4845">
        <v>109408</v>
      </c>
      <c r="E4845">
        <v>6000</v>
      </c>
      <c r="F4845">
        <v>6000</v>
      </c>
      <c r="G4845" s="1">
        <v>0.04</v>
      </c>
      <c r="H4845" s="1">
        <v>3.9899999999999998E-2</v>
      </c>
      <c r="I4845" s="1">
        <v>3.9899999999999998E-2</v>
      </c>
      <c r="J4845" s="1">
        <v>4.82E-2</v>
      </c>
    </row>
    <row r="4846" spans="1:10" x14ac:dyDescent="0.2">
      <c r="A4846" t="str">
        <f>"22/12/2004"</f>
        <v>22/12/2004</v>
      </c>
      <c r="B4846">
        <v>1</v>
      </c>
      <c r="C4846">
        <v>4000</v>
      </c>
      <c r="D4846">
        <v>75809</v>
      </c>
      <c r="E4846">
        <v>4000</v>
      </c>
      <c r="F4846">
        <v>4000</v>
      </c>
      <c r="G4846" s="1">
        <v>0.04</v>
      </c>
      <c r="H4846" s="1">
        <v>3.9699999999999999E-2</v>
      </c>
      <c r="I4846" s="1">
        <v>3.9699999999999999E-2</v>
      </c>
      <c r="J4846" s="1">
        <v>3.9300000000000002E-2</v>
      </c>
    </row>
    <row r="4847" spans="1:10" x14ac:dyDescent="0.2">
      <c r="A4847" t="str">
        <f>"21/12/2004"</f>
        <v>21/12/2004</v>
      </c>
      <c r="B4847">
        <v>1</v>
      </c>
      <c r="C4847">
        <v>8000</v>
      </c>
      <c r="D4847">
        <v>163409</v>
      </c>
      <c r="E4847">
        <v>8000</v>
      </c>
      <c r="F4847">
        <v>8000</v>
      </c>
      <c r="G4847" s="1">
        <v>0.04</v>
      </c>
      <c r="H4847" s="1">
        <v>3.9899999999999998E-2</v>
      </c>
      <c r="I4847" s="1">
        <v>3.9899999999999998E-2</v>
      </c>
      <c r="J4847" s="1">
        <v>4.5999999999999999E-2</v>
      </c>
    </row>
    <row r="4848" spans="1:10" x14ac:dyDescent="0.2">
      <c r="A4848" t="str">
        <f>"20/12/2004"</f>
        <v>20/12/2004</v>
      </c>
      <c r="B4848">
        <v>1</v>
      </c>
      <c r="C4848">
        <v>8000</v>
      </c>
      <c r="D4848">
        <v>157458</v>
      </c>
      <c r="E4848">
        <v>8000</v>
      </c>
      <c r="F4848">
        <v>8000</v>
      </c>
      <c r="G4848" s="1">
        <v>0.04</v>
      </c>
      <c r="H4848" s="1">
        <v>3.9899999999999998E-2</v>
      </c>
      <c r="I4848" s="1">
        <v>3.9899999999999998E-2</v>
      </c>
      <c r="J4848" s="1">
        <v>4.7699999999999999E-2</v>
      </c>
    </row>
    <row r="4849" spans="1:10" x14ac:dyDescent="0.2">
      <c r="A4849" t="str">
        <f>"19/12/2004"</f>
        <v>19/12/2004</v>
      </c>
      <c r="B4849">
        <v>1</v>
      </c>
      <c r="C4849">
        <v>8000</v>
      </c>
      <c r="D4849">
        <v>154408</v>
      </c>
      <c r="E4849">
        <v>8000</v>
      </c>
      <c r="F4849">
        <v>8000</v>
      </c>
      <c r="G4849" s="1">
        <v>0.04</v>
      </c>
      <c r="H4849" s="1">
        <v>3.9899999999999998E-2</v>
      </c>
      <c r="I4849" s="1">
        <v>3.9899999999999998E-2</v>
      </c>
      <c r="J4849" s="1">
        <v>4.87E-2</v>
      </c>
    </row>
    <row r="4850" spans="1:10" x14ac:dyDescent="0.2">
      <c r="A4850" t="str">
        <f>"16/12/2004"</f>
        <v>16/12/2004</v>
      </c>
      <c r="B4850">
        <v>3</v>
      </c>
      <c r="C4850">
        <v>7000</v>
      </c>
      <c r="D4850">
        <v>134507</v>
      </c>
      <c r="E4850">
        <v>7000</v>
      </c>
      <c r="F4850">
        <v>7000</v>
      </c>
      <c r="G4850" s="1">
        <v>0.04</v>
      </c>
      <c r="H4850" s="1">
        <v>0.04</v>
      </c>
      <c r="I4850" s="1">
        <v>0.04</v>
      </c>
      <c r="J4850" s="1">
        <v>4.99E-2</v>
      </c>
    </row>
    <row r="4851" spans="1:10" x14ac:dyDescent="0.2">
      <c r="A4851" t="str">
        <f>"15/12/2004"</f>
        <v>15/12/2004</v>
      </c>
      <c r="B4851">
        <v>1</v>
      </c>
      <c r="C4851">
        <v>7000</v>
      </c>
      <c r="D4851">
        <v>129208</v>
      </c>
      <c r="E4851">
        <v>7000</v>
      </c>
      <c r="F4851">
        <v>7000</v>
      </c>
      <c r="G4851" s="1">
        <v>0.04</v>
      </c>
      <c r="H4851" s="1">
        <v>0.04</v>
      </c>
      <c r="I4851" s="1">
        <v>0.04</v>
      </c>
      <c r="J4851" s="1">
        <v>5.4100000000000002E-2</v>
      </c>
    </row>
    <row r="4852" spans="1:10" x14ac:dyDescent="0.2">
      <c r="A4852" t="str">
        <f>"14/12/2004"</f>
        <v>14/12/2004</v>
      </c>
      <c r="B4852">
        <v>1</v>
      </c>
      <c r="C4852">
        <v>8500</v>
      </c>
      <c r="D4852">
        <v>170613</v>
      </c>
      <c r="E4852">
        <v>8500</v>
      </c>
      <c r="F4852">
        <v>8500</v>
      </c>
      <c r="G4852" s="1">
        <v>0.04</v>
      </c>
      <c r="H4852" s="1">
        <v>0.04</v>
      </c>
      <c r="I4852" s="1">
        <v>0.04</v>
      </c>
      <c r="J4852" s="1">
        <v>4.9700000000000001E-2</v>
      </c>
    </row>
    <row r="4853" spans="1:10" x14ac:dyDescent="0.2">
      <c r="A4853" t="str">
        <f>"13/12/2004"</f>
        <v>13/12/2004</v>
      </c>
      <c r="B4853">
        <v>1</v>
      </c>
      <c r="C4853">
        <v>9000</v>
      </c>
      <c r="D4853">
        <v>168113</v>
      </c>
      <c r="E4853">
        <v>9000</v>
      </c>
      <c r="F4853">
        <v>9000</v>
      </c>
      <c r="G4853" s="1">
        <v>0.04</v>
      </c>
      <c r="H4853" s="1">
        <v>0.04</v>
      </c>
      <c r="I4853" s="1">
        <v>0.04</v>
      </c>
      <c r="J4853" s="1">
        <v>5.3499999999999999E-2</v>
      </c>
    </row>
    <row r="4854" spans="1:10" x14ac:dyDescent="0.2">
      <c r="A4854" t="str">
        <f>"12/12/2004"</f>
        <v>12/12/2004</v>
      </c>
      <c r="B4854">
        <v>1</v>
      </c>
      <c r="C4854">
        <v>10500</v>
      </c>
      <c r="D4854">
        <v>180113</v>
      </c>
      <c r="E4854">
        <v>10500</v>
      </c>
      <c r="F4854">
        <v>10500</v>
      </c>
      <c r="G4854" s="1">
        <v>0.04</v>
      </c>
      <c r="H4854" s="1">
        <v>0.04</v>
      </c>
      <c r="I4854" s="1">
        <v>0.04</v>
      </c>
      <c r="J4854" s="1">
        <v>5.8200000000000002E-2</v>
      </c>
    </row>
    <row r="4855" spans="1:10" x14ac:dyDescent="0.2">
      <c r="A4855" t="str">
        <f>"09/12/2004"</f>
        <v>09/12/2004</v>
      </c>
      <c r="B4855">
        <v>3</v>
      </c>
      <c r="C4855">
        <v>11000</v>
      </c>
      <c r="D4855">
        <v>189112</v>
      </c>
      <c r="E4855">
        <v>11000</v>
      </c>
      <c r="F4855">
        <v>11000</v>
      </c>
      <c r="G4855" s="1">
        <v>0.04</v>
      </c>
      <c r="H4855" s="1">
        <v>3.9899999999999998E-2</v>
      </c>
      <c r="I4855" s="1">
        <v>3.9899999999999998E-2</v>
      </c>
      <c r="J4855" s="1">
        <v>5.3100000000000001E-2</v>
      </c>
    </row>
    <row r="4856" spans="1:10" x14ac:dyDescent="0.2">
      <c r="A4856" t="str">
        <f>"08/12/2004"</f>
        <v>08/12/2004</v>
      </c>
      <c r="B4856">
        <v>1</v>
      </c>
      <c r="C4856">
        <v>11000</v>
      </c>
      <c r="D4856">
        <v>170412</v>
      </c>
      <c r="E4856">
        <v>11000</v>
      </c>
      <c r="F4856">
        <v>11000</v>
      </c>
      <c r="G4856" s="1">
        <v>0.04</v>
      </c>
      <c r="H4856" s="1">
        <v>3.9800000000000002E-2</v>
      </c>
      <c r="I4856" s="1">
        <v>3.9800000000000002E-2</v>
      </c>
      <c r="J4856" s="1">
        <v>5.3400000000000003E-2</v>
      </c>
    </row>
    <row r="4857" spans="1:10" x14ac:dyDescent="0.2">
      <c r="A4857" t="str">
        <f>"07/12/2004"</f>
        <v>07/12/2004</v>
      </c>
      <c r="B4857">
        <v>1</v>
      </c>
      <c r="C4857">
        <v>12500</v>
      </c>
      <c r="D4857">
        <v>227112</v>
      </c>
      <c r="E4857">
        <v>12500</v>
      </c>
      <c r="F4857">
        <v>12500</v>
      </c>
      <c r="G4857" s="1">
        <v>0.04</v>
      </c>
      <c r="H4857" s="1">
        <v>0.04</v>
      </c>
      <c r="I4857" s="1">
        <v>0.04</v>
      </c>
      <c r="J4857" s="1">
        <v>5.5E-2</v>
      </c>
    </row>
    <row r="4858" spans="1:10" x14ac:dyDescent="0.2">
      <c r="A4858" t="str">
        <f>"06/12/2004"</f>
        <v>06/12/2004</v>
      </c>
      <c r="B4858">
        <v>1</v>
      </c>
      <c r="C4858">
        <v>12500</v>
      </c>
      <c r="D4858">
        <v>210812</v>
      </c>
      <c r="E4858">
        <v>12500</v>
      </c>
      <c r="F4858">
        <v>12500</v>
      </c>
      <c r="G4858" s="1">
        <v>0.04</v>
      </c>
      <c r="H4858" s="1">
        <v>0.04</v>
      </c>
      <c r="I4858" s="1">
        <v>0.04</v>
      </c>
      <c r="J4858" s="1">
        <v>5.9200000000000003E-2</v>
      </c>
    </row>
    <row r="4859" spans="1:10" x14ac:dyDescent="0.2">
      <c r="A4859" t="str">
        <f>"05/12/2004"</f>
        <v>05/12/2004</v>
      </c>
      <c r="B4859">
        <v>1</v>
      </c>
      <c r="C4859">
        <v>13000</v>
      </c>
      <c r="D4859">
        <v>231113</v>
      </c>
      <c r="E4859">
        <v>13000</v>
      </c>
      <c r="F4859">
        <v>13000</v>
      </c>
      <c r="G4859" s="1">
        <v>0.04</v>
      </c>
      <c r="H4859" s="1">
        <v>0.04</v>
      </c>
      <c r="I4859" s="1">
        <v>0.04</v>
      </c>
      <c r="J4859" s="1">
        <v>5.62E-2</v>
      </c>
    </row>
    <row r="4860" spans="1:10" x14ac:dyDescent="0.2">
      <c r="A4860" t="str">
        <f>"02/12/2004"</f>
        <v>02/12/2004</v>
      </c>
      <c r="B4860">
        <v>3</v>
      </c>
      <c r="C4860">
        <v>13500</v>
      </c>
      <c r="D4860">
        <v>224913</v>
      </c>
      <c r="E4860">
        <v>13500</v>
      </c>
      <c r="F4860">
        <v>13500</v>
      </c>
      <c r="G4860" s="1">
        <v>0.04</v>
      </c>
      <c r="H4860" s="1">
        <v>0.04</v>
      </c>
      <c r="I4860" s="1">
        <v>0.04</v>
      </c>
      <c r="J4860" s="1">
        <v>5.79E-2</v>
      </c>
    </row>
    <row r="4861" spans="1:10" x14ac:dyDescent="0.2">
      <c r="A4861" t="str">
        <f>"01/12/2004"</f>
        <v>01/12/2004</v>
      </c>
      <c r="B4861">
        <v>1</v>
      </c>
      <c r="C4861">
        <v>18500</v>
      </c>
      <c r="D4861">
        <v>262308</v>
      </c>
      <c r="E4861">
        <v>18500</v>
      </c>
      <c r="F4861">
        <v>18500</v>
      </c>
      <c r="G4861" s="1">
        <v>0.04</v>
      </c>
      <c r="H4861" s="1">
        <v>0.04</v>
      </c>
      <c r="I4861" s="1">
        <v>0.04</v>
      </c>
      <c r="J4861" s="1">
        <v>6.7699999999999996E-2</v>
      </c>
    </row>
    <row r="4862" spans="1:10" x14ac:dyDescent="0.2">
      <c r="A4862" t="str">
        <f>"30/11/2004"</f>
        <v>30/11/2004</v>
      </c>
      <c r="B4862">
        <v>1</v>
      </c>
      <c r="C4862">
        <v>8000</v>
      </c>
      <c r="D4862">
        <v>11268</v>
      </c>
      <c r="E4862">
        <v>8000</v>
      </c>
      <c r="F4862">
        <v>8000</v>
      </c>
      <c r="G4862" s="1">
        <v>0.04</v>
      </c>
      <c r="H4862" s="1">
        <v>0.04</v>
      </c>
      <c r="I4862" s="1">
        <v>0.04</v>
      </c>
      <c r="J4862" s="1">
        <v>0.70979999999999999</v>
      </c>
    </row>
    <row r="4863" spans="1:10" x14ac:dyDescent="0.2">
      <c r="A4863" t="str">
        <f>"29/11/2004"</f>
        <v>29/11/2004</v>
      </c>
      <c r="B4863">
        <v>1</v>
      </c>
      <c r="C4863">
        <v>7000</v>
      </c>
      <c r="D4863">
        <v>135509</v>
      </c>
      <c r="E4863">
        <v>7000</v>
      </c>
      <c r="F4863">
        <v>7000</v>
      </c>
      <c r="G4863" s="1">
        <v>0.04</v>
      </c>
      <c r="H4863" s="1">
        <v>0.04</v>
      </c>
      <c r="I4863" s="1">
        <v>0.04</v>
      </c>
      <c r="J4863" s="1">
        <v>5.0900000000000001E-2</v>
      </c>
    </row>
    <row r="4864" spans="1:10" x14ac:dyDescent="0.2">
      <c r="A4864" t="str">
        <f>"28/11/2004"</f>
        <v>28/11/2004</v>
      </c>
      <c r="B4864">
        <v>1</v>
      </c>
      <c r="C4864">
        <v>6500</v>
      </c>
      <c r="D4864">
        <v>123062</v>
      </c>
      <c r="E4864">
        <v>6500</v>
      </c>
      <c r="F4864">
        <v>6500</v>
      </c>
      <c r="G4864" s="1">
        <v>0.04</v>
      </c>
      <c r="H4864" s="1">
        <v>3.9899999999999998E-2</v>
      </c>
      <c r="I4864" s="1">
        <v>3.9899999999999998E-2</v>
      </c>
      <c r="J4864" s="1">
        <v>4.8500000000000001E-2</v>
      </c>
    </row>
    <row r="4865" spans="1:10" x14ac:dyDescent="0.2">
      <c r="A4865" t="str">
        <f>"25/11/2004"</f>
        <v>25/11/2004</v>
      </c>
      <c r="B4865">
        <v>3</v>
      </c>
      <c r="C4865">
        <v>4500</v>
      </c>
      <c r="D4865">
        <v>72508</v>
      </c>
      <c r="E4865">
        <v>4500</v>
      </c>
      <c r="F4865">
        <v>4500</v>
      </c>
      <c r="G4865" s="1">
        <v>0.04</v>
      </c>
      <c r="H4865" s="1">
        <v>0.04</v>
      </c>
      <c r="I4865" s="1">
        <v>0.04</v>
      </c>
      <c r="J4865" s="1">
        <v>5.9400000000000001E-2</v>
      </c>
    </row>
    <row r="4866" spans="1:10" x14ac:dyDescent="0.2">
      <c r="A4866" t="str">
        <f>"24/11/2004"</f>
        <v>24/11/2004</v>
      </c>
      <c r="B4866">
        <v>1</v>
      </c>
      <c r="C4866">
        <v>5000</v>
      </c>
      <c r="D4866">
        <v>39</v>
      </c>
      <c r="E4866">
        <v>39</v>
      </c>
      <c r="F4866">
        <v>39</v>
      </c>
      <c r="G4866" s="1">
        <v>4.2000000000000003E-2</v>
      </c>
      <c r="H4866" s="1">
        <v>4.1799999999999997E-2</v>
      </c>
      <c r="I4866" s="1">
        <v>4.1799999999999997E-2</v>
      </c>
      <c r="J4866" s="1">
        <v>1</v>
      </c>
    </row>
    <row r="4867" spans="1:10" x14ac:dyDescent="0.2">
      <c r="A4867" t="str">
        <f>"23/11/2004"</f>
        <v>23/11/2004</v>
      </c>
      <c r="B4867">
        <v>1</v>
      </c>
      <c r="C4867">
        <v>4500</v>
      </c>
      <c r="D4867">
        <v>23180</v>
      </c>
      <c r="E4867">
        <v>4500</v>
      </c>
      <c r="F4867">
        <v>4500</v>
      </c>
      <c r="G4867" s="1">
        <v>4.2000000000000003E-2</v>
      </c>
      <c r="H4867" s="1">
        <v>4.2000000000000003E-2</v>
      </c>
      <c r="I4867" s="1">
        <v>4.2000000000000003E-2</v>
      </c>
      <c r="J4867" s="1">
        <v>0.1885</v>
      </c>
    </row>
    <row r="4868" spans="1:10" x14ac:dyDescent="0.2">
      <c r="A4868" t="str">
        <f>"22/11/2004"</f>
        <v>22/11/2004</v>
      </c>
      <c r="B4868">
        <v>1</v>
      </c>
      <c r="C4868">
        <v>5000</v>
      </c>
      <c r="D4868">
        <v>116510</v>
      </c>
      <c r="E4868">
        <v>5000</v>
      </c>
      <c r="F4868">
        <v>5000</v>
      </c>
      <c r="G4868" s="1">
        <v>4.2000000000000003E-2</v>
      </c>
      <c r="H4868" s="1">
        <v>4.1799999999999997E-2</v>
      </c>
      <c r="I4868" s="1">
        <v>4.1799999999999997E-2</v>
      </c>
      <c r="J4868" s="1">
        <v>3.6200000000000003E-2</v>
      </c>
    </row>
    <row r="4869" spans="1:10" x14ac:dyDescent="0.2">
      <c r="A4869" t="str">
        <f>"21/11/2004"</f>
        <v>21/11/2004</v>
      </c>
      <c r="B4869">
        <v>1</v>
      </c>
      <c r="C4869">
        <v>6000</v>
      </c>
      <c r="D4869">
        <v>122413</v>
      </c>
      <c r="E4869">
        <v>6000</v>
      </c>
      <c r="F4869">
        <v>6000</v>
      </c>
      <c r="G4869" s="1">
        <v>4.2000000000000003E-2</v>
      </c>
      <c r="H4869" s="1">
        <v>4.19E-2</v>
      </c>
      <c r="I4869" s="1">
        <v>4.19E-2</v>
      </c>
      <c r="J4869" s="1">
        <v>4.3400000000000001E-2</v>
      </c>
    </row>
    <row r="4870" spans="1:10" x14ac:dyDescent="0.2">
      <c r="A4870" t="str">
        <f>"18/11/2004"</f>
        <v>18/11/2004</v>
      </c>
      <c r="B4870">
        <v>3</v>
      </c>
      <c r="C4870">
        <v>7000</v>
      </c>
      <c r="D4870">
        <v>147313</v>
      </c>
      <c r="E4870">
        <v>7000</v>
      </c>
      <c r="F4870">
        <v>7000</v>
      </c>
      <c r="G4870" s="1">
        <v>4.2000000000000003E-2</v>
      </c>
      <c r="H4870" s="1">
        <v>4.2000000000000003E-2</v>
      </c>
      <c r="I4870" s="1">
        <v>4.2000000000000003E-2</v>
      </c>
      <c r="J4870" s="1">
        <v>4.6100000000000002E-2</v>
      </c>
    </row>
    <row r="4871" spans="1:10" x14ac:dyDescent="0.2">
      <c r="A4871" t="str">
        <f>"17/11/2004"</f>
        <v>17/11/2004</v>
      </c>
      <c r="B4871">
        <v>1</v>
      </c>
      <c r="C4871">
        <v>5000</v>
      </c>
      <c r="D4871">
        <v>114264</v>
      </c>
      <c r="E4871">
        <v>5000</v>
      </c>
      <c r="F4871">
        <v>5000</v>
      </c>
      <c r="G4871" s="1">
        <v>4.2000000000000003E-2</v>
      </c>
      <c r="H4871" s="1">
        <v>4.2000000000000003E-2</v>
      </c>
      <c r="I4871" s="1">
        <v>4.2000000000000003E-2</v>
      </c>
      <c r="J4871" s="1">
        <v>4.36E-2</v>
      </c>
    </row>
    <row r="4872" spans="1:10" x14ac:dyDescent="0.2">
      <c r="A4872" t="str">
        <f>"16/11/2004"</f>
        <v>16/11/2004</v>
      </c>
      <c r="B4872">
        <v>1</v>
      </c>
      <c r="C4872">
        <v>7500</v>
      </c>
      <c r="D4872">
        <v>154752</v>
      </c>
      <c r="E4872">
        <v>7500</v>
      </c>
      <c r="F4872">
        <v>7500</v>
      </c>
      <c r="G4872" s="1">
        <v>4.2000000000000003E-2</v>
      </c>
      <c r="H4872" s="1">
        <v>4.2000000000000003E-2</v>
      </c>
      <c r="I4872" s="1">
        <v>4.2000000000000003E-2</v>
      </c>
      <c r="J4872" s="1">
        <v>4.8399999999999999E-2</v>
      </c>
    </row>
    <row r="4873" spans="1:10" x14ac:dyDescent="0.2">
      <c r="A4873" t="str">
        <f>"15/11/2004"</f>
        <v>15/11/2004</v>
      </c>
      <c r="B4873">
        <v>1</v>
      </c>
      <c r="C4873">
        <v>12500</v>
      </c>
      <c r="D4873">
        <v>196862</v>
      </c>
      <c r="E4873">
        <v>12500</v>
      </c>
      <c r="F4873">
        <v>12500</v>
      </c>
      <c r="G4873" s="1">
        <v>4.2000000000000003E-2</v>
      </c>
      <c r="H4873" s="1">
        <v>4.2000000000000003E-2</v>
      </c>
      <c r="I4873" s="1">
        <v>4.2000000000000003E-2</v>
      </c>
      <c r="J4873" s="1">
        <v>6.3399999999999998E-2</v>
      </c>
    </row>
    <row r="4874" spans="1:10" x14ac:dyDescent="0.2">
      <c r="A4874" t="str">
        <f>"14/11/2004"</f>
        <v>14/11/2004</v>
      </c>
      <c r="B4874">
        <v>1</v>
      </c>
      <c r="C4874">
        <v>14500</v>
      </c>
      <c r="D4874">
        <v>216414</v>
      </c>
      <c r="E4874">
        <v>14500</v>
      </c>
      <c r="F4874">
        <v>14500</v>
      </c>
      <c r="G4874" s="1">
        <v>4.2000000000000003E-2</v>
      </c>
      <c r="H4874" s="1">
        <v>4.2000000000000003E-2</v>
      </c>
      <c r="I4874" s="1">
        <v>4.2000000000000003E-2</v>
      </c>
      <c r="J4874" s="1">
        <v>6.6900000000000001E-2</v>
      </c>
    </row>
    <row r="4875" spans="1:10" x14ac:dyDescent="0.2">
      <c r="A4875" t="str">
        <f>"11/11/2004"</f>
        <v>11/11/2004</v>
      </c>
      <c r="B4875">
        <v>3</v>
      </c>
      <c r="C4875">
        <v>16500</v>
      </c>
      <c r="D4875">
        <v>201658</v>
      </c>
      <c r="E4875">
        <v>16500</v>
      </c>
      <c r="F4875">
        <v>16500</v>
      </c>
      <c r="G4875" s="1">
        <v>4.2000000000000003E-2</v>
      </c>
      <c r="H4875" s="1">
        <v>4.2000000000000003E-2</v>
      </c>
      <c r="I4875" s="1">
        <v>4.2000000000000003E-2</v>
      </c>
      <c r="J4875" s="1">
        <v>8.1799999999999998E-2</v>
      </c>
    </row>
    <row r="4876" spans="1:10" x14ac:dyDescent="0.2">
      <c r="A4876" t="str">
        <f>"10/11/2004"</f>
        <v>10/11/2004</v>
      </c>
      <c r="B4876">
        <v>1</v>
      </c>
      <c r="C4876">
        <v>13000</v>
      </c>
      <c r="D4876">
        <v>175508</v>
      </c>
      <c r="E4876">
        <v>13000</v>
      </c>
      <c r="F4876">
        <v>13000</v>
      </c>
      <c r="G4876" s="1">
        <v>4.2000000000000003E-2</v>
      </c>
      <c r="H4876" s="1">
        <v>4.2000000000000003E-2</v>
      </c>
      <c r="I4876" s="1">
        <v>4.2000000000000003E-2</v>
      </c>
      <c r="J4876" s="1">
        <v>7.3999999999999996E-2</v>
      </c>
    </row>
    <row r="4877" spans="1:10" x14ac:dyDescent="0.2">
      <c r="A4877" t="str">
        <f>"09/11/2004"</f>
        <v>09/11/2004</v>
      </c>
      <c r="B4877">
        <v>1</v>
      </c>
      <c r="C4877">
        <v>13000</v>
      </c>
      <c r="D4877">
        <v>206968</v>
      </c>
      <c r="E4877">
        <v>13000</v>
      </c>
      <c r="F4877">
        <v>13000</v>
      </c>
      <c r="G4877" s="1">
        <v>4.2000000000000003E-2</v>
      </c>
      <c r="H4877" s="1">
        <v>4.2000000000000003E-2</v>
      </c>
      <c r="I4877" s="1">
        <v>4.2000000000000003E-2</v>
      </c>
      <c r="J4877" s="1">
        <v>6.2799999999999995E-2</v>
      </c>
    </row>
    <row r="4878" spans="1:10" x14ac:dyDescent="0.2">
      <c r="A4878" t="str">
        <f>"08/11/2004"</f>
        <v>08/11/2004</v>
      </c>
      <c r="B4878">
        <v>1</v>
      </c>
      <c r="C4878">
        <v>16000</v>
      </c>
      <c r="D4878">
        <v>237007</v>
      </c>
      <c r="E4878">
        <v>16000</v>
      </c>
      <c r="F4878">
        <v>16000</v>
      </c>
      <c r="G4878" s="1">
        <v>4.2000000000000003E-2</v>
      </c>
      <c r="H4878" s="1">
        <v>4.2000000000000003E-2</v>
      </c>
      <c r="I4878" s="1">
        <v>4.2000000000000003E-2</v>
      </c>
      <c r="J4878" s="1">
        <v>6.7500000000000004E-2</v>
      </c>
    </row>
    <row r="4879" spans="1:10" x14ac:dyDescent="0.2">
      <c r="A4879" t="str">
        <f>"07/11/2004"</f>
        <v>07/11/2004</v>
      </c>
      <c r="B4879">
        <v>1</v>
      </c>
      <c r="C4879">
        <v>16000</v>
      </c>
      <c r="D4879">
        <v>251809</v>
      </c>
      <c r="E4879">
        <v>16000</v>
      </c>
      <c r="F4879">
        <v>16000</v>
      </c>
      <c r="G4879" s="1">
        <v>4.2000000000000003E-2</v>
      </c>
      <c r="H4879" s="1">
        <v>4.2000000000000003E-2</v>
      </c>
      <c r="I4879" s="1">
        <v>4.2000000000000003E-2</v>
      </c>
      <c r="J4879" s="1">
        <v>6.3500000000000001E-2</v>
      </c>
    </row>
    <row r="4880" spans="1:10" x14ac:dyDescent="0.2">
      <c r="A4880" t="str">
        <f>"02/11/2004"</f>
        <v>02/11/2004</v>
      </c>
      <c r="B4880">
        <v>5</v>
      </c>
      <c r="C4880">
        <v>11500</v>
      </c>
      <c r="D4880">
        <v>174711</v>
      </c>
      <c r="E4880">
        <v>11500</v>
      </c>
      <c r="F4880">
        <v>11500</v>
      </c>
      <c r="G4880" s="1">
        <v>4.2000000000000003E-2</v>
      </c>
      <c r="H4880" s="1">
        <v>4.2000000000000003E-2</v>
      </c>
      <c r="I4880" s="1">
        <v>4.2000000000000003E-2</v>
      </c>
      <c r="J4880" s="1">
        <v>6.5799999999999997E-2</v>
      </c>
    </row>
    <row r="4881" spans="1:10" x14ac:dyDescent="0.2">
      <c r="A4881" t="str">
        <f>"01/11/2004"</f>
        <v>01/11/2004</v>
      </c>
      <c r="B4881">
        <v>1</v>
      </c>
      <c r="C4881">
        <v>11500</v>
      </c>
      <c r="D4881">
        <v>187011</v>
      </c>
      <c r="E4881">
        <v>11500</v>
      </c>
      <c r="F4881">
        <v>11500</v>
      </c>
      <c r="G4881" s="1">
        <v>4.2000000000000003E-2</v>
      </c>
      <c r="H4881" s="1">
        <v>4.2000000000000003E-2</v>
      </c>
      <c r="I4881" s="1">
        <v>4.2000000000000003E-2</v>
      </c>
      <c r="J4881" s="1">
        <v>6.1400000000000003E-2</v>
      </c>
    </row>
    <row r="4882" spans="1:10" x14ac:dyDescent="0.2">
      <c r="A4882" t="str">
        <f>"31/10/2004"</f>
        <v>31/10/2004</v>
      </c>
      <c r="B4882">
        <v>1</v>
      </c>
      <c r="C4882">
        <v>7500</v>
      </c>
      <c r="D4882">
        <v>8800</v>
      </c>
      <c r="E4882">
        <v>7500</v>
      </c>
      <c r="F4882">
        <v>7500</v>
      </c>
      <c r="G4882" s="1">
        <v>4.2000000000000003E-2</v>
      </c>
      <c r="H4882" s="1">
        <v>4.2000000000000003E-2</v>
      </c>
      <c r="I4882" s="1">
        <v>4.2000000000000003E-2</v>
      </c>
      <c r="J4882" s="1">
        <v>0.85209999999999997</v>
      </c>
    </row>
    <row r="4883" spans="1:10" x14ac:dyDescent="0.2">
      <c r="A4883" t="str">
        <f>"28/10/2004"</f>
        <v>28/10/2004</v>
      </c>
      <c r="B4883">
        <v>3</v>
      </c>
      <c r="C4883">
        <v>6000</v>
      </c>
      <c r="D4883">
        <v>105958</v>
      </c>
      <c r="E4883">
        <v>6000</v>
      </c>
      <c r="F4883">
        <v>6000</v>
      </c>
      <c r="G4883" s="1">
        <v>4.2000000000000003E-2</v>
      </c>
      <c r="H4883" s="1">
        <v>4.2000000000000003E-2</v>
      </c>
      <c r="I4883" s="1">
        <v>4.2000000000000003E-2</v>
      </c>
      <c r="J4883" s="1">
        <v>5.6599999999999998E-2</v>
      </c>
    </row>
    <row r="4884" spans="1:10" x14ac:dyDescent="0.2">
      <c r="A4884" t="str">
        <f>"27/10/2004"</f>
        <v>27/10/2004</v>
      </c>
      <c r="B4884">
        <v>1</v>
      </c>
      <c r="C4884">
        <v>6200</v>
      </c>
      <c r="D4884">
        <v>5548</v>
      </c>
      <c r="E4884">
        <v>5548</v>
      </c>
      <c r="F4884">
        <v>5548</v>
      </c>
      <c r="G4884" s="1">
        <v>4.2000000000000003E-2</v>
      </c>
      <c r="H4884" s="1">
        <v>4.2000000000000003E-2</v>
      </c>
      <c r="I4884" s="1">
        <v>4.2000000000000003E-2</v>
      </c>
      <c r="J4884" s="1">
        <v>1</v>
      </c>
    </row>
    <row r="4885" spans="1:10" x14ac:dyDescent="0.2">
      <c r="A4885" t="str">
        <f>"26/10/2004"</f>
        <v>26/10/2004</v>
      </c>
      <c r="B4885">
        <v>1</v>
      </c>
      <c r="C4885">
        <v>6500</v>
      </c>
      <c r="D4885">
        <v>109854</v>
      </c>
      <c r="E4885">
        <v>6500</v>
      </c>
      <c r="F4885">
        <v>6500</v>
      </c>
      <c r="G4885" s="1">
        <v>4.2000000000000003E-2</v>
      </c>
      <c r="H4885" s="1">
        <v>4.1700000000000001E-2</v>
      </c>
      <c r="I4885" s="1">
        <v>4.1700000000000001E-2</v>
      </c>
      <c r="J4885" s="1">
        <v>4.4299999999999999E-2</v>
      </c>
    </row>
    <row r="4886" spans="1:10" x14ac:dyDescent="0.2">
      <c r="A4886" t="str">
        <f>"25/10/2004"</f>
        <v>25/10/2004</v>
      </c>
      <c r="B4886">
        <v>1</v>
      </c>
      <c r="C4886">
        <v>5500</v>
      </c>
      <c r="D4886">
        <v>116004</v>
      </c>
      <c r="E4886">
        <v>5500</v>
      </c>
      <c r="F4886">
        <v>5500</v>
      </c>
      <c r="G4886" s="1">
        <v>4.2000000000000003E-2</v>
      </c>
      <c r="H4886" s="1">
        <v>4.2000000000000003E-2</v>
      </c>
      <c r="I4886" s="1">
        <v>4.2000000000000003E-2</v>
      </c>
      <c r="J4886" s="1">
        <v>4.7399999999999998E-2</v>
      </c>
    </row>
    <row r="4887" spans="1:10" x14ac:dyDescent="0.2">
      <c r="A4887" t="str">
        <f>"24/10/2004"</f>
        <v>24/10/2004</v>
      </c>
      <c r="B4887">
        <v>1</v>
      </c>
      <c r="C4887">
        <v>5000</v>
      </c>
      <c r="D4887">
        <v>105705</v>
      </c>
      <c r="E4887">
        <v>5000</v>
      </c>
      <c r="F4887">
        <v>5000</v>
      </c>
      <c r="G4887" s="1">
        <v>4.2000000000000003E-2</v>
      </c>
      <c r="H4887" s="1">
        <v>4.2000000000000003E-2</v>
      </c>
      <c r="I4887" s="1">
        <v>4.2000000000000003E-2</v>
      </c>
      <c r="J4887" s="1">
        <v>4.7300000000000002E-2</v>
      </c>
    </row>
    <row r="4888" spans="1:10" x14ac:dyDescent="0.2">
      <c r="A4888" t="str">
        <f>"21/10/2004"</f>
        <v>21/10/2004</v>
      </c>
      <c r="B4888">
        <v>3</v>
      </c>
      <c r="C4888">
        <v>6000</v>
      </c>
      <c r="D4888">
        <v>106004</v>
      </c>
      <c r="E4888">
        <v>6000</v>
      </c>
      <c r="F4888">
        <v>6000</v>
      </c>
      <c r="G4888" s="1">
        <v>4.2000000000000003E-2</v>
      </c>
      <c r="H4888" s="1">
        <v>4.2000000000000003E-2</v>
      </c>
      <c r="I4888" s="1">
        <v>4.2000000000000003E-2</v>
      </c>
      <c r="J4888" s="1">
        <v>5.6599999999999998E-2</v>
      </c>
    </row>
    <row r="4889" spans="1:10" x14ac:dyDescent="0.2">
      <c r="A4889" t="str">
        <f>"20/10/2004"</f>
        <v>20/10/2004</v>
      </c>
      <c r="B4889">
        <v>1</v>
      </c>
      <c r="C4889">
        <v>5000</v>
      </c>
      <c r="D4889">
        <v>94005</v>
      </c>
      <c r="E4889">
        <v>5000</v>
      </c>
      <c r="F4889">
        <v>5000</v>
      </c>
      <c r="G4889" s="1">
        <v>4.2000000000000003E-2</v>
      </c>
      <c r="H4889" s="1">
        <v>4.2000000000000003E-2</v>
      </c>
      <c r="I4889" s="1">
        <v>4.2000000000000003E-2</v>
      </c>
      <c r="J4889" s="1">
        <v>5.3100000000000001E-2</v>
      </c>
    </row>
    <row r="4890" spans="1:10" x14ac:dyDescent="0.2">
      <c r="A4890" t="str">
        <f>"19/10/2004"</f>
        <v>19/10/2004</v>
      </c>
      <c r="B4890">
        <v>1</v>
      </c>
      <c r="C4890">
        <v>6000</v>
      </c>
      <c r="D4890">
        <v>123807</v>
      </c>
      <c r="E4890">
        <v>6000</v>
      </c>
      <c r="F4890">
        <v>6000</v>
      </c>
      <c r="G4890" s="1">
        <v>4.2000000000000003E-2</v>
      </c>
      <c r="H4890" s="1">
        <v>4.2000000000000003E-2</v>
      </c>
      <c r="I4890" s="1">
        <v>4.2000000000000003E-2</v>
      </c>
      <c r="J4890" s="1">
        <v>4.8399999999999999E-2</v>
      </c>
    </row>
    <row r="4891" spans="1:10" x14ac:dyDescent="0.2">
      <c r="A4891" t="str">
        <f>"18/10/2004"</f>
        <v>18/10/2004</v>
      </c>
      <c r="B4891">
        <v>1</v>
      </c>
      <c r="C4891">
        <v>6000</v>
      </c>
      <c r="D4891">
        <v>124557</v>
      </c>
      <c r="E4891">
        <v>6000</v>
      </c>
      <c r="F4891">
        <v>6000</v>
      </c>
      <c r="G4891" s="1">
        <v>4.2000000000000003E-2</v>
      </c>
      <c r="H4891" s="1">
        <v>4.2000000000000003E-2</v>
      </c>
      <c r="I4891" s="1">
        <v>4.2000000000000003E-2</v>
      </c>
      <c r="J4891" s="1">
        <v>4.8099999999999997E-2</v>
      </c>
    </row>
    <row r="4892" spans="1:10" x14ac:dyDescent="0.2">
      <c r="A4892" t="str">
        <f>"17/10/2004"</f>
        <v>17/10/2004</v>
      </c>
      <c r="B4892">
        <v>1</v>
      </c>
      <c r="C4892">
        <v>9500</v>
      </c>
      <c r="D4892">
        <v>153406</v>
      </c>
      <c r="E4892">
        <v>9500</v>
      </c>
      <c r="F4892">
        <v>9500</v>
      </c>
      <c r="G4892" s="1">
        <v>4.2000000000000003E-2</v>
      </c>
      <c r="H4892" s="1">
        <v>4.2000000000000003E-2</v>
      </c>
      <c r="I4892" s="1">
        <v>4.2000000000000003E-2</v>
      </c>
      <c r="J4892" s="1">
        <v>6.1899999999999997E-2</v>
      </c>
    </row>
    <row r="4893" spans="1:10" x14ac:dyDescent="0.2">
      <c r="A4893" t="str">
        <f>"14/10/2004"</f>
        <v>14/10/2004</v>
      </c>
      <c r="B4893">
        <v>3</v>
      </c>
      <c r="C4893">
        <v>15000</v>
      </c>
      <c r="D4893">
        <v>286407</v>
      </c>
      <c r="E4893">
        <v>15000</v>
      </c>
      <c r="F4893">
        <v>15000</v>
      </c>
      <c r="G4893" s="1">
        <v>4.2000000000000003E-2</v>
      </c>
      <c r="H4893" s="1">
        <v>4.2000000000000003E-2</v>
      </c>
      <c r="I4893" s="1">
        <v>4.2000000000000003E-2</v>
      </c>
      <c r="J4893" s="1">
        <v>5.1700000000000003E-2</v>
      </c>
    </row>
    <row r="4894" spans="1:10" x14ac:dyDescent="0.2">
      <c r="A4894" t="str">
        <f>"13/10/2004"</f>
        <v>13/10/2004</v>
      </c>
      <c r="B4894">
        <v>1</v>
      </c>
      <c r="C4894">
        <v>7500</v>
      </c>
      <c r="D4894">
        <v>168945</v>
      </c>
      <c r="E4894">
        <v>7500</v>
      </c>
      <c r="F4894">
        <v>7500</v>
      </c>
      <c r="G4894" s="1">
        <v>4.2000000000000003E-2</v>
      </c>
      <c r="H4894" s="1">
        <v>4.2000000000000003E-2</v>
      </c>
      <c r="I4894" s="1">
        <v>4.2000000000000003E-2</v>
      </c>
      <c r="J4894" s="1">
        <v>4.36E-2</v>
      </c>
    </row>
    <row r="4895" spans="1:10" x14ac:dyDescent="0.2">
      <c r="A4895" t="str">
        <f>"12/10/2004"</f>
        <v>12/10/2004</v>
      </c>
      <c r="B4895">
        <v>1</v>
      </c>
      <c r="C4895">
        <v>11500</v>
      </c>
      <c r="D4895">
        <v>250945</v>
      </c>
      <c r="E4895">
        <v>11500</v>
      </c>
      <c r="F4895">
        <v>11500</v>
      </c>
      <c r="G4895" s="1">
        <v>4.2000000000000003E-2</v>
      </c>
      <c r="H4895" s="1">
        <v>4.2000000000000003E-2</v>
      </c>
      <c r="I4895" s="1">
        <v>4.2000000000000003E-2</v>
      </c>
      <c r="J4895" s="1">
        <v>4.4900000000000002E-2</v>
      </c>
    </row>
    <row r="4896" spans="1:10" x14ac:dyDescent="0.2">
      <c r="A4896" t="str">
        <f>"11/10/2004"</f>
        <v>11/10/2004</v>
      </c>
      <c r="B4896">
        <v>1</v>
      </c>
      <c r="C4896">
        <v>12000</v>
      </c>
      <c r="D4896">
        <v>248945</v>
      </c>
      <c r="E4896">
        <v>12000</v>
      </c>
      <c r="F4896">
        <v>12000</v>
      </c>
      <c r="G4896" s="1">
        <v>4.2000000000000003E-2</v>
      </c>
      <c r="H4896" s="1">
        <v>4.2000000000000003E-2</v>
      </c>
      <c r="I4896" s="1">
        <v>4.2000000000000003E-2</v>
      </c>
      <c r="J4896" s="1">
        <v>4.7300000000000002E-2</v>
      </c>
    </row>
    <row r="4897" spans="1:10" x14ac:dyDescent="0.2">
      <c r="A4897" t="str">
        <f>"10/10/2004"</f>
        <v>10/10/2004</v>
      </c>
      <c r="B4897">
        <v>1</v>
      </c>
      <c r="C4897">
        <v>12000</v>
      </c>
      <c r="D4897">
        <v>237445</v>
      </c>
      <c r="E4897">
        <v>12000</v>
      </c>
      <c r="F4897">
        <v>12000</v>
      </c>
      <c r="G4897" s="1">
        <v>4.2000000000000003E-2</v>
      </c>
      <c r="H4897" s="1">
        <v>4.2000000000000003E-2</v>
      </c>
      <c r="I4897" s="1">
        <v>4.2000000000000003E-2</v>
      </c>
      <c r="J4897" s="1">
        <v>4.9599999999999998E-2</v>
      </c>
    </row>
    <row r="4898" spans="1:10" x14ac:dyDescent="0.2">
      <c r="A4898" t="str">
        <f>"06/10/2004"</f>
        <v>06/10/2004</v>
      </c>
      <c r="B4898">
        <v>4</v>
      </c>
      <c r="C4898">
        <v>11500</v>
      </c>
      <c r="D4898">
        <v>192445</v>
      </c>
      <c r="E4898">
        <v>11500</v>
      </c>
      <c r="F4898">
        <v>11500</v>
      </c>
      <c r="G4898" s="1">
        <v>4.2000000000000003E-2</v>
      </c>
      <c r="H4898" s="1">
        <v>4.2000000000000003E-2</v>
      </c>
      <c r="I4898" s="1">
        <v>4.2000000000000003E-2</v>
      </c>
      <c r="J4898" s="1">
        <v>5.9499999999999997E-2</v>
      </c>
    </row>
    <row r="4899" spans="1:10" x14ac:dyDescent="0.2">
      <c r="A4899" t="str">
        <f>"05/10/2004"</f>
        <v>05/10/2004</v>
      </c>
      <c r="B4899">
        <v>1</v>
      </c>
      <c r="C4899">
        <v>6500</v>
      </c>
      <c r="D4899">
        <v>125345</v>
      </c>
      <c r="E4899">
        <v>6500</v>
      </c>
      <c r="F4899">
        <v>6500</v>
      </c>
      <c r="G4899" s="1">
        <v>4.2000000000000003E-2</v>
      </c>
      <c r="H4899" s="1">
        <v>4.2000000000000003E-2</v>
      </c>
      <c r="I4899" s="1">
        <v>4.2000000000000003E-2</v>
      </c>
      <c r="J4899" s="1">
        <v>5.1499999999999997E-2</v>
      </c>
    </row>
    <row r="4900" spans="1:10" x14ac:dyDescent="0.2">
      <c r="A4900" t="str">
        <f>"04/10/2004"</f>
        <v>04/10/2004</v>
      </c>
      <c r="B4900">
        <v>1</v>
      </c>
      <c r="C4900">
        <v>15000</v>
      </c>
      <c r="D4900">
        <v>220795</v>
      </c>
      <c r="E4900">
        <v>15000</v>
      </c>
      <c r="F4900">
        <v>15000</v>
      </c>
      <c r="G4900" s="1">
        <v>4.2000000000000003E-2</v>
      </c>
      <c r="H4900" s="1">
        <v>4.2000000000000003E-2</v>
      </c>
      <c r="I4900" s="1">
        <v>4.2000000000000003E-2</v>
      </c>
      <c r="J4900" s="1">
        <v>6.7100000000000007E-2</v>
      </c>
    </row>
    <row r="4901" spans="1:10" x14ac:dyDescent="0.2">
      <c r="A4901" t="str">
        <f>"03/10/2004"</f>
        <v>03/10/2004</v>
      </c>
      <c r="B4901">
        <v>1</v>
      </c>
      <c r="C4901">
        <v>13500</v>
      </c>
      <c r="D4901">
        <v>207844</v>
      </c>
      <c r="E4901">
        <v>13500</v>
      </c>
      <c r="F4901">
        <v>13500</v>
      </c>
      <c r="G4901" s="1">
        <v>4.2000000000000003E-2</v>
      </c>
      <c r="H4901" s="1">
        <v>4.2000000000000003E-2</v>
      </c>
      <c r="I4901" s="1">
        <v>4.2000000000000003E-2</v>
      </c>
      <c r="J4901" s="1">
        <v>6.3399999999999998E-2</v>
      </c>
    </row>
    <row r="4902" spans="1:10" x14ac:dyDescent="0.2">
      <c r="A4902" t="str">
        <f>"01/10/2004"</f>
        <v>01/10/2004</v>
      </c>
      <c r="B4902">
        <v>2</v>
      </c>
      <c r="C4902">
        <v>13500</v>
      </c>
      <c r="D4902">
        <v>172541</v>
      </c>
      <c r="E4902">
        <v>13500</v>
      </c>
      <c r="F4902">
        <v>13500</v>
      </c>
      <c r="G4902" s="1">
        <v>4.2000000000000003E-2</v>
      </c>
      <c r="H4902" s="1">
        <v>4.2000000000000003E-2</v>
      </c>
      <c r="I4902" s="1">
        <v>4.2000000000000003E-2</v>
      </c>
      <c r="J4902" s="1">
        <v>7.8E-2</v>
      </c>
    </row>
    <row r="4903" spans="1:10" x14ac:dyDescent="0.2">
      <c r="A4903" t="str">
        <f>"29/09/2004"</f>
        <v>29/09/2004</v>
      </c>
      <c r="B4903">
        <v>2</v>
      </c>
      <c r="C4903">
        <v>10700</v>
      </c>
      <c r="D4903">
        <v>8306</v>
      </c>
      <c r="E4903">
        <v>8306</v>
      </c>
      <c r="F4903">
        <v>8306</v>
      </c>
      <c r="G4903" s="1">
        <v>4.2000000000000003E-2</v>
      </c>
      <c r="H4903" s="1">
        <v>4.19E-2</v>
      </c>
      <c r="I4903" s="1">
        <v>4.19E-2</v>
      </c>
      <c r="J4903" s="1">
        <v>1</v>
      </c>
    </row>
    <row r="4904" spans="1:10" x14ac:dyDescent="0.2">
      <c r="A4904" t="str">
        <f>"28/09/2004"</f>
        <v>28/09/2004</v>
      </c>
      <c r="B4904">
        <v>1</v>
      </c>
      <c r="C4904">
        <v>7500</v>
      </c>
      <c r="D4904">
        <v>135405</v>
      </c>
      <c r="E4904">
        <v>7500</v>
      </c>
      <c r="F4904">
        <v>7500</v>
      </c>
      <c r="G4904" s="1">
        <v>4.2000000000000003E-2</v>
      </c>
      <c r="H4904" s="1">
        <v>4.1000000000000002E-2</v>
      </c>
      <c r="I4904" s="1">
        <v>4.1000000000000002E-2</v>
      </c>
      <c r="J4904" s="1">
        <v>1.8800000000000001E-2</v>
      </c>
    </row>
    <row r="4905" spans="1:10" x14ac:dyDescent="0.2">
      <c r="A4905" t="str">
        <f>"27/09/2004"</f>
        <v>27/09/2004</v>
      </c>
      <c r="B4905">
        <v>1</v>
      </c>
      <c r="C4905">
        <v>8000</v>
      </c>
      <c r="D4905">
        <v>150205</v>
      </c>
      <c r="E4905">
        <v>8000</v>
      </c>
      <c r="F4905">
        <v>8000</v>
      </c>
      <c r="G4905" s="1">
        <v>4.2000000000000003E-2</v>
      </c>
      <c r="H4905" s="1">
        <v>4.1799999999999997E-2</v>
      </c>
      <c r="I4905" s="1">
        <v>4.1799999999999997E-2</v>
      </c>
      <c r="J4905" s="1">
        <v>4.24E-2</v>
      </c>
    </row>
    <row r="4906" spans="1:10" x14ac:dyDescent="0.2">
      <c r="A4906" t="str">
        <f>"26/09/2004"</f>
        <v>26/09/2004</v>
      </c>
      <c r="B4906">
        <v>1</v>
      </c>
      <c r="C4906">
        <v>9000</v>
      </c>
      <c r="D4906">
        <v>171403</v>
      </c>
      <c r="E4906">
        <v>9000</v>
      </c>
      <c r="F4906">
        <v>9000</v>
      </c>
      <c r="G4906" s="1">
        <v>4.2000000000000003E-2</v>
      </c>
      <c r="H4906" s="1">
        <v>4.1799999999999997E-2</v>
      </c>
      <c r="I4906" s="1">
        <v>4.1799999999999997E-2</v>
      </c>
      <c r="J4906" s="1">
        <v>4.3299999999999998E-2</v>
      </c>
    </row>
    <row r="4907" spans="1:10" x14ac:dyDescent="0.2">
      <c r="A4907" t="str">
        <f>"23/09/2004"</f>
        <v>23/09/2004</v>
      </c>
      <c r="B4907">
        <v>3</v>
      </c>
      <c r="C4907">
        <v>7000</v>
      </c>
      <c r="D4907">
        <v>155103</v>
      </c>
      <c r="E4907">
        <v>7000</v>
      </c>
      <c r="F4907">
        <v>7000</v>
      </c>
      <c r="G4907" s="1">
        <v>4.2000000000000003E-2</v>
      </c>
      <c r="H4907" s="1">
        <v>4.19E-2</v>
      </c>
      <c r="I4907" s="1">
        <v>4.19E-2</v>
      </c>
      <c r="J4907" s="1">
        <v>3.8899999999999997E-2</v>
      </c>
    </row>
    <row r="4908" spans="1:10" x14ac:dyDescent="0.2">
      <c r="A4908" t="str">
        <f>"20/09/2004"</f>
        <v>20/09/2004</v>
      </c>
      <c r="B4908">
        <v>3</v>
      </c>
      <c r="C4908">
        <v>6000</v>
      </c>
      <c r="D4908">
        <v>125703</v>
      </c>
      <c r="E4908">
        <v>6000</v>
      </c>
      <c r="F4908">
        <v>6000</v>
      </c>
      <c r="G4908" s="1">
        <v>4.2000000000000003E-2</v>
      </c>
      <c r="H4908" s="1">
        <v>4.2000000000000003E-2</v>
      </c>
      <c r="I4908" s="1">
        <v>4.2000000000000003E-2</v>
      </c>
      <c r="J4908" s="1">
        <v>4.7699999999999999E-2</v>
      </c>
    </row>
    <row r="4909" spans="1:10" x14ac:dyDescent="0.2">
      <c r="A4909" t="str">
        <f>"19/09/2004"</f>
        <v>19/09/2004</v>
      </c>
      <c r="B4909">
        <v>1</v>
      </c>
      <c r="C4909">
        <v>10000</v>
      </c>
      <c r="D4909">
        <v>162863</v>
      </c>
      <c r="E4909">
        <v>10000</v>
      </c>
      <c r="F4909">
        <v>10000</v>
      </c>
      <c r="G4909" s="1">
        <v>4.2000000000000003E-2</v>
      </c>
      <c r="H4909" s="1">
        <v>4.2000000000000003E-2</v>
      </c>
      <c r="I4909" s="1">
        <v>4.2000000000000003E-2</v>
      </c>
      <c r="J4909" s="1">
        <v>6.1400000000000003E-2</v>
      </c>
    </row>
    <row r="4910" spans="1:10" x14ac:dyDescent="0.2">
      <c r="A4910" t="str">
        <f>"14/09/2004"</f>
        <v>14/09/2004</v>
      </c>
      <c r="B4910">
        <v>5</v>
      </c>
      <c r="C4910">
        <v>15000</v>
      </c>
      <c r="D4910">
        <v>270105</v>
      </c>
      <c r="E4910">
        <v>15000</v>
      </c>
      <c r="F4910">
        <v>15000</v>
      </c>
      <c r="G4910" s="1">
        <v>4.2000000000000003E-2</v>
      </c>
      <c r="H4910" s="1">
        <v>4.2000000000000003E-2</v>
      </c>
      <c r="I4910" s="1">
        <v>4.2000000000000003E-2</v>
      </c>
      <c r="J4910" s="1">
        <v>5.5500000000000001E-2</v>
      </c>
    </row>
    <row r="4911" spans="1:10" x14ac:dyDescent="0.2">
      <c r="A4911" t="str">
        <f>"13/09/2004"</f>
        <v>13/09/2004</v>
      </c>
      <c r="B4911">
        <v>1</v>
      </c>
      <c r="C4911">
        <v>8000</v>
      </c>
      <c r="D4911">
        <v>176207</v>
      </c>
      <c r="E4911">
        <v>8000</v>
      </c>
      <c r="F4911">
        <v>8000</v>
      </c>
      <c r="G4911" s="1">
        <v>4.2000000000000003E-2</v>
      </c>
      <c r="H4911" s="1">
        <v>4.2000000000000003E-2</v>
      </c>
      <c r="I4911" s="1">
        <v>4.2000000000000003E-2</v>
      </c>
      <c r="J4911" s="1">
        <v>4.5400000000000003E-2</v>
      </c>
    </row>
    <row r="4912" spans="1:10" x14ac:dyDescent="0.2">
      <c r="A4912" t="str">
        <f>"12/09/2004"</f>
        <v>12/09/2004</v>
      </c>
      <c r="B4912">
        <v>1</v>
      </c>
      <c r="C4912">
        <v>8500</v>
      </c>
      <c r="D4912">
        <v>184247</v>
      </c>
      <c r="E4912">
        <v>8500</v>
      </c>
      <c r="F4912">
        <v>8500</v>
      </c>
      <c r="G4912" s="1">
        <v>4.2000000000000003E-2</v>
      </c>
      <c r="H4912" s="1">
        <v>4.2000000000000003E-2</v>
      </c>
      <c r="I4912" s="1">
        <v>4.2000000000000003E-2</v>
      </c>
      <c r="J4912" s="1">
        <v>4.6100000000000002E-2</v>
      </c>
    </row>
    <row r="4913" spans="1:10" x14ac:dyDescent="0.2">
      <c r="A4913" t="str">
        <f>"09/09/2004"</f>
        <v>09/09/2004</v>
      </c>
      <c r="B4913">
        <v>3</v>
      </c>
      <c r="C4913">
        <v>8500</v>
      </c>
      <c r="D4913">
        <v>169155</v>
      </c>
      <c r="E4913">
        <v>8500</v>
      </c>
      <c r="F4913">
        <v>8500</v>
      </c>
      <c r="G4913" s="1">
        <v>4.2000000000000003E-2</v>
      </c>
      <c r="H4913" s="1">
        <v>4.2000000000000003E-2</v>
      </c>
      <c r="I4913" s="1">
        <v>4.2000000000000003E-2</v>
      </c>
      <c r="J4913" s="1">
        <v>4.9099999999999998E-2</v>
      </c>
    </row>
    <row r="4914" spans="1:10" x14ac:dyDescent="0.2">
      <c r="A4914" t="str">
        <f>"08/09/2004"</f>
        <v>08/09/2004</v>
      </c>
      <c r="B4914">
        <v>1</v>
      </c>
      <c r="C4914">
        <v>7000</v>
      </c>
      <c r="D4914">
        <v>152005</v>
      </c>
      <c r="E4914">
        <v>7000</v>
      </c>
      <c r="F4914">
        <v>7000</v>
      </c>
      <c r="G4914" s="1">
        <v>4.2000000000000003E-2</v>
      </c>
      <c r="H4914" s="1">
        <v>4.2000000000000003E-2</v>
      </c>
      <c r="I4914" s="1">
        <v>4.2000000000000003E-2</v>
      </c>
      <c r="J4914" s="1">
        <v>4.48E-2</v>
      </c>
    </row>
    <row r="4915" spans="1:10" x14ac:dyDescent="0.2">
      <c r="A4915" t="str">
        <f>"07/09/2004"</f>
        <v>07/09/2004</v>
      </c>
      <c r="B4915">
        <v>1</v>
      </c>
      <c r="C4915">
        <v>9000</v>
      </c>
      <c r="D4915">
        <v>193905</v>
      </c>
      <c r="E4915">
        <v>9000</v>
      </c>
      <c r="F4915">
        <v>9000</v>
      </c>
      <c r="G4915" s="1">
        <v>4.2000000000000003E-2</v>
      </c>
      <c r="H4915" s="1">
        <v>4.2000000000000003E-2</v>
      </c>
      <c r="I4915" s="1">
        <v>4.2000000000000003E-2</v>
      </c>
      <c r="J4915" s="1">
        <v>4.5199999999999997E-2</v>
      </c>
    </row>
    <row r="4916" spans="1:10" x14ac:dyDescent="0.2">
      <c r="A4916" t="str">
        <f>"06/09/2004"</f>
        <v>06/09/2004</v>
      </c>
      <c r="B4916">
        <v>1</v>
      </c>
      <c r="C4916">
        <v>9000</v>
      </c>
      <c r="D4916">
        <v>201006</v>
      </c>
      <c r="E4916">
        <v>9000</v>
      </c>
      <c r="F4916">
        <v>9000</v>
      </c>
      <c r="G4916" s="1">
        <v>4.2000000000000003E-2</v>
      </c>
      <c r="H4916" s="1">
        <v>4.2000000000000003E-2</v>
      </c>
      <c r="I4916" s="1">
        <v>4.2000000000000003E-2</v>
      </c>
      <c r="J4916" s="1">
        <v>4.3999999999999997E-2</v>
      </c>
    </row>
    <row r="4917" spans="1:10" x14ac:dyDescent="0.2">
      <c r="A4917" t="str">
        <f>"05/09/2004"</f>
        <v>05/09/2004</v>
      </c>
      <c r="B4917">
        <v>1</v>
      </c>
      <c r="C4917">
        <v>9500</v>
      </c>
      <c r="D4917">
        <v>203405</v>
      </c>
      <c r="E4917">
        <v>9500</v>
      </c>
      <c r="F4917">
        <v>9500</v>
      </c>
      <c r="G4917" s="1">
        <v>4.2000000000000003E-2</v>
      </c>
      <c r="H4917" s="1">
        <v>4.2000000000000003E-2</v>
      </c>
      <c r="I4917" s="1">
        <v>4.2000000000000003E-2</v>
      </c>
      <c r="J4917" s="1">
        <v>4.6699999999999998E-2</v>
      </c>
    </row>
    <row r="4918" spans="1:10" x14ac:dyDescent="0.2">
      <c r="A4918" t="str">
        <f>"02/09/2004"</f>
        <v>02/09/2004</v>
      </c>
      <c r="B4918">
        <v>3</v>
      </c>
      <c r="C4918">
        <v>9000</v>
      </c>
      <c r="D4918">
        <v>189004</v>
      </c>
      <c r="E4918">
        <v>9000</v>
      </c>
      <c r="F4918">
        <v>9000</v>
      </c>
      <c r="G4918" s="1">
        <v>4.2000000000000003E-2</v>
      </c>
      <c r="H4918" s="1">
        <v>4.2000000000000003E-2</v>
      </c>
      <c r="I4918" s="1">
        <v>4.2000000000000003E-2</v>
      </c>
      <c r="J4918" s="1">
        <v>4.7600000000000003E-2</v>
      </c>
    </row>
    <row r="4919" spans="1:10" x14ac:dyDescent="0.2">
      <c r="A4919" t="str">
        <f>"01/09/2004"</f>
        <v>01/09/2004</v>
      </c>
      <c r="B4919">
        <v>1</v>
      </c>
      <c r="C4919">
        <v>20000</v>
      </c>
      <c r="D4919">
        <v>318706</v>
      </c>
      <c r="E4919">
        <v>20000</v>
      </c>
      <c r="F4919">
        <v>20000</v>
      </c>
      <c r="G4919" s="1">
        <v>4.2000000000000003E-2</v>
      </c>
      <c r="H4919" s="1">
        <v>4.2000000000000003E-2</v>
      </c>
      <c r="I4919" s="1">
        <v>4.2000000000000003E-2</v>
      </c>
      <c r="J4919" s="1">
        <v>6.2700000000000006E-2</v>
      </c>
    </row>
    <row r="4920" spans="1:10" x14ac:dyDescent="0.2">
      <c r="A4920" t="str">
        <f>"31/08/2004"</f>
        <v>31/08/2004</v>
      </c>
      <c r="B4920">
        <v>1</v>
      </c>
      <c r="C4920">
        <v>10500</v>
      </c>
      <c r="D4920">
        <v>10103</v>
      </c>
      <c r="E4920">
        <v>10103</v>
      </c>
      <c r="F4920">
        <v>10103</v>
      </c>
      <c r="G4920" s="1">
        <v>4.2000000000000003E-2</v>
      </c>
      <c r="H4920" s="1">
        <v>4.2000000000000003E-2</v>
      </c>
      <c r="I4920" s="1">
        <v>4.2000000000000003E-2</v>
      </c>
      <c r="J4920" s="1">
        <v>1</v>
      </c>
    </row>
    <row r="4921" spans="1:10" x14ac:dyDescent="0.2">
      <c r="A4921" t="str">
        <f>"30/08/2004"</f>
        <v>30/08/2004</v>
      </c>
      <c r="B4921">
        <v>1</v>
      </c>
      <c r="C4921">
        <v>9000</v>
      </c>
      <c r="D4921">
        <v>173809</v>
      </c>
      <c r="E4921">
        <v>9000</v>
      </c>
      <c r="F4921">
        <v>9000</v>
      </c>
      <c r="G4921" s="1">
        <v>4.2000000000000003E-2</v>
      </c>
      <c r="H4921" s="1">
        <v>4.2000000000000003E-2</v>
      </c>
      <c r="I4921" s="1">
        <v>4.2000000000000003E-2</v>
      </c>
      <c r="J4921" s="1">
        <v>5.1700000000000003E-2</v>
      </c>
    </row>
    <row r="4922" spans="1:10" x14ac:dyDescent="0.2">
      <c r="A4922" t="str">
        <f>"29/08/2004"</f>
        <v>29/08/2004</v>
      </c>
      <c r="B4922">
        <v>1</v>
      </c>
      <c r="C4922">
        <v>9000</v>
      </c>
      <c r="D4922">
        <v>167309</v>
      </c>
      <c r="E4922">
        <v>9000</v>
      </c>
      <c r="F4922">
        <v>9000</v>
      </c>
      <c r="G4922" s="1">
        <v>4.2000000000000003E-2</v>
      </c>
      <c r="H4922" s="1">
        <v>4.2000000000000003E-2</v>
      </c>
      <c r="I4922" s="1">
        <v>4.2000000000000003E-2</v>
      </c>
      <c r="J4922" s="1">
        <v>5.3699999999999998E-2</v>
      </c>
    </row>
    <row r="4923" spans="1:10" x14ac:dyDescent="0.2">
      <c r="A4923" t="str">
        <f>"26/08/2004"</f>
        <v>26/08/2004</v>
      </c>
      <c r="B4923">
        <v>3</v>
      </c>
      <c r="C4923">
        <v>6500</v>
      </c>
      <c r="D4923">
        <v>141906</v>
      </c>
      <c r="E4923">
        <v>6500</v>
      </c>
      <c r="F4923">
        <v>6500</v>
      </c>
      <c r="G4923" s="1">
        <v>4.2000000000000003E-2</v>
      </c>
      <c r="H4923" s="1">
        <v>4.2000000000000003E-2</v>
      </c>
      <c r="I4923" s="1">
        <v>4.2000000000000003E-2</v>
      </c>
      <c r="J4923" s="1">
        <v>4.5100000000000001E-2</v>
      </c>
    </row>
    <row r="4924" spans="1:10" x14ac:dyDescent="0.2">
      <c r="A4924" t="str">
        <f>"25/08/2004"</f>
        <v>25/08/2004</v>
      </c>
      <c r="B4924">
        <v>1</v>
      </c>
      <c r="C4924">
        <v>4000</v>
      </c>
      <c r="D4924">
        <v>3747</v>
      </c>
      <c r="E4924">
        <v>3747</v>
      </c>
      <c r="F4924">
        <v>3747</v>
      </c>
      <c r="G4924" s="1">
        <v>4.2000000000000003E-2</v>
      </c>
      <c r="H4924" s="1">
        <v>4.2000000000000003E-2</v>
      </c>
      <c r="I4924" s="1">
        <v>4.2000000000000003E-2</v>
      </c>
      <c r="J4924" s="1">
        <v>1</v>
      </c>
    </row>
    <row r="4925" spans="1:10" x14ac:dyDescent="0.2">
      <c r="A4925" t="str">
        <f>"24/08/2004"</f>
        <v>24/08/2004</v>
      </c>
      <c r="B4925">
        <v>1</v>
      </c>
      <c r="C4925">
        <v>4500</v>
      </c>
      <c r="D4925">
        <v>88107</v>
      </c>
      <c r="E4925">
        <v>4500</v>
      </c>
      <c r="F4925">
        <v>4500</v>
      </c>
      <c r="G4925" s="1">
        <v>4.2000000000000003E-2</v>
      </c>
      <c r="H4925" s="1">
        <v>4.19E-2</v>
      </c>
      <c r="I4925" s="1">
        <v>4.19E-2</v>
      </c>
      <c r="J4925" s="1">
        <v>4.7800000000000002E-2</v>
      </c>
    </row>
    <row r="4926" spans="1:10" x14ac:dyDescent="0.2">
      <c r="A4926" t="str">
        <f>"23/08/2004"</f>
        <v>23/08/2004</v>
      </c>
      <c r="B4926">
        <v>1</v>
      </c>
      <c r="C4926">
        <v>5000</v>
      </c>
      <c r="D4926">
        <v>98706</v>
      </c>
      <c r="E4926">
        <v>5000</v>
      </c>
      <c r="F4926">
        <v>5000</v>
      </c>
      <c r="G4926" s="1">
        <v>4.2000000000000003E-2</v>
      </c>
      <c r="H4926" s="1">
        <v>4.19E-2</v>
      </c>
      <c r="I4926" s="1">
        <v>4.19E-2</v>
      </c>
      <c r="J4926" s="1">
        <v>4.82E-2</v>
      </c>
    </row>
    <row r="4927" spans="1:10" x14ac:dyDescent="0.2">
      <c r="A4927" t="str">
        <f>"22/08/2004"</f>
        <v>22/08/2004</v>
      </c>
      <c r="B4927">
        <v>1</v>
      </c>
      <c r="C4927">
        <v>7500</v>
      </c>
      <c r="D4927">
        <v>145429</v>
      </c>
      <c r="E4927">
        <v>7500</v>
      </c>
      <c r="F4927">
        <v>7500</v>
      </c>
      <c r="G4927" s="1">
        <v>4.2000000000000003E-2</v>
      </c>
      <c r="H4927" s="1">
        <v>4.2000000000000003E-2</v>
      </c>
      <c r="I4927" s="1">
        <v>4.2000000000000003E-2</v>
      </c>
      <c r="J4927" s="1">
        <v>4.99E-2</v>
      </c>
    </row>
    <row r="4928" spans="1:10" x14ac:dyDescent="0.2">
      <c r="A4928" t="str">
        <f>"19/08/2004"</f>
        <v>19/08/2004</v>
      </c>
      <c r="B4928">
        <v>3</v>
      </c>
      <c r="C4928">
        <v>7500</v>
      </c>
      <c r="D4928">
        <v>157009</v>
      </c>
      <c r="E4928">
        <v>7500</v>
      </c>
      <c r="F4928">
        <v>7500</v>
      </c>
      <c r="G4928" s="1">
        <v>4.2000000000000003E-2</v>
      </c>
      <c r="H4928" s="1">
        <v>4.2000000000000003E-2</v>
      </c>
      <c r="I4928" s="1">
        <v>4.2000000000000003E-2</v>
      </c>
      <c r="J4928" s="1">
        <v>4.6199999999999998E-2</v>
      </c>
    </row>
    <row r="4929" spans="1:10" x14ac:dyDescent="0.2">
      <c r="A4929" t="str">
        <f>"18/08/2004"</f>
        <v>18/08/2004</v>
      </c>
      <c r="B4929">
        <v>1</v>
      </c>
      <c r="C4929">
        <v>4500</v>
      </c>
      <c r="D4929">
        <v>108709</v>
      </c>
      <c r="E4929">
        <v>4500</v>
      </c>
      <c r="F4929">
        <v>4500</v>
      </c>
      <c r="G4929" s="1">
        <v>4.2000000000000003E-2</v>
      </c>
      <c r="H4929" s="1">
        <v>4.2000000000000003E-2</v>
      </c>
      <c r="I4929" s="1">
        <v>4.2000000000000003E-2</v>
      </c>
      <c r="J4929" s="1">
        <v>4.0399999999999998E-2</v>
      </c>
    </row>
    <row r="4930" spans="1:10" x14ac:dyDescent="0.2">
      <c r="A4930" t="str">
        <f>"17/08/2004"</f>
        <v>17/08/2004</v>
      </c>
      <c r="B4930">
        <v>1</v>
      </c>
      <c r="C4930">
        <v>8000</v>
      </c>
      <c r="D4930">
        <v>180910</v>
      </c>
      <c r="E4930">
        <v>8000</v>
      </c>
      <c r="F4930">
        <v>8000</v>
      </c>
      <c r="G4930" s="1">
        <v>4.2000000000000003E-2</v>
      </c>
      <c r="H4930" s="1">
        <v>4.2000000000000003E-2</v>
      </c>
      <c r="I4930" s="1">
        <v>4.2000000000000003E-2</v>
      </c>
      <c r="J4930" s="1">
        <v>4.3400000000000001E-2</v>
      </c>
    </row>
    <row r="4931" spans="1:10" x14ac:dyDescent="0.2">
      <c r="A4931" t="str">
        <f>"16/08/2004"</f>
        <v>16/08/2004</v>
      </c>
      <c r="B4931">
        <v>1</v>
      </c>
      <c r="C4931">
        <v>8000</v>
      </c>
      <c r="D4931">
        <v>169971</v>
      </c>
      <c r="E4931">
        <v>8000</v>
      </c>
      <c r="F4931">
        <v>8000</v>
      </c>
      <c r="G4931" s="1">
        <v>4.2000000000000003E-2</v>
      </c>
      <c r="H4931" s="1">
        <v>4.2000000000000003E-2</v>
      </c>
      <c r="I4931" s="1">
        <v>4.2000000000000003E-2</v>
      </c>
      <c r="J4931" s="1">
        <v>4.7E-2</v>
      </c>
    </row>
    <row r="4932" spans="1:10" x14ac:dyDescent="0.2">
      <c r="A4932" t="str">
        <f>"15/08/2004"</f>
        <v>15/08/2004</v>
      </c>
      <c r="B4932">
        <v>1</v>
      </c>
      <c r="C4932">
        <v>13500</v>
      </c>
      <c r="D4932">
        <v>253191</v>
      </c>
      <c r="E4932">
        <v>13500</v>
      </c>
      <c r="F4932">
        <v>13500</v>
      </c>
      <c r="G4932" s="1">
        <v>4.2000000000000003E-2</v>
      </c>
      <c r="H4932" s="1">
        <v>4.2000000000000003E-2</v>
      </c>
      <c r="I4932" s="1">
        <v>4.2000000000000003E-2</v>
      </c>
      <c r="J4932" s="1">
        <v>5.33E-2</v>
      </c>
    </row>
    <row r="4933" spans="1:10" x14ac:dyDescent="0.2">
      <c r="A4933" t="str">
        <f>"12/08/2004"</f>
        <v>12/08/2004</v>
      </c>
      <c r="B4933">
        <v>3</v>
      </c>
      <c r="C4933">
        <v>15000</v>
      </c>
      <c r="D4933">
        <v>269770</v>
      </c>
      <c r="E4933">
        <v>15000</v>
      </c>
      <c r="F4933">
        <v>15000</v>
      </c>
      <c r="G4933" s="1">
        <v>4.2000000000000003E-2</v>
      </c>
      <c r="H4933" s="1">
        <v>4.2000000000000003E-2</v>
      </c>
      <c r="I4933" s="1">
        <v>4.2000000000000003E-2</v>
      </c>
      <c r="J4933" s="1">
        <v>5.5E-2</v>
      </c>
    </row>
    <row r="4934" spans="1:10" x14ac:dyDescent="0.2">
      <c r="A4934" t="str">
        <f>"11/08/2004"</f>
        <v>11/08/2004</v>
      </c>
      <c r="B4934">
        <v>1</v>
      </c>
      <c r="C4934">
        <v>11500</v>
      </c>
      <c r="D4934">
        <v>215028</v>
      </c>
      <c r="E4934">
        <v>11500</v>
      </c>
      <c r="F4934">
        <v>11500</v>
      </c>
      <c r="G4934" s="1">
        <v>4.2000000000000003E-2</v>
      </c>
      <c r="H4934" s="1">
        <v>4.2000000000000003E-2</v>
      </c>
      <c r="I4934" s="1">
        <v>4.2000000000000003E-2</v>
      </c>
      <c r="J4934" s="1">
        <v>5.3400000000000003E-2</v>
      </c>
    </row>
    <row r="4935" spans="1:10" x14ac:dyDescent="0.2">
      <c r="A4935" t="str">
        <f>"10/08/2004"</f>
        <v>10/08/2004</v>
      </c>
      <c r="B4935">
        <v>1</v>
      </c>
      <c r="C4935">
        <v>11500</v>
      </c>
      <c r="D4935">
        <v>214008</v>
      </c>
      <c r="E4935">
        <v>11500</v>
      </c>
      <c r="F4935">
        <v>11500</v>
      </c>
      <c r="G4935" s="1">
        <v>4.2000000000000003E-2</v>
      </c>
      <c r="H4935" s="1">
        <v>4.2000000000000003E-2</v>
      </c>
      <c r="I4935" s="1">
        <v>4.2000000000000003E-2</v>
      </c>
      <c r="J4935" s="1">
        <v>5.2999999999999999E-2</v>
      </c>
    </row>
    <row r="4936" spans="1:10" x14ac:dyDescent="0.2">
      <c r="A4936" t="str">
        <f>"09/08/2004"</f>
        <v>09/08/2004</v>
      </c>
      <c r="B4936">
        <v>1</v>
      </c>
      <c r="C4936">
        <v>11500</v>
      </c>
      <c r="D4936">
        <v>213689</v>
      </c>
      <c r="E4936">
        <v>11500</v>
      </c>
      <c r="F4936">
        <v>11500</v>
      </c>
      <c r="G4936" s="1">
        <v>4.2000000000000003E-2</v>
      </c>
      <c r="H4936" s="1">
        <v>4.2000000000000003E-2</v>
      </c>
      <c r="I4936" s="1">
        <v>4.2000000000000003E-2</v>
      </c>
      <c r="J4936" s="1">
        <v>5.2400000000000002E-2</v>
      </c>
    </row>
    <row r="4937" spans="1:10" x14ac:dyDescent="0.2">
      <c r="A4937" t="str">
        <f>"08/08/2004"</f>
        <v>08/08/2004</v>
      </c>
      <c r="B4937">
        <v>1</v>
      </c>
      <c r="C4937">
        <v>12500</v>
      </c>
      <c r="D4937">
        <v>229868</v>
      </c>
      <c r="E4937">
        <v>12500</v>
      </c>
      <c r="F4937">
        <v>12500</v>
      </c>
      <c r="G4937" s="1">
        <v>4.2000000000000003E-2</v>
      </c>
      <c r="H4937" s="1">
        <v>4.2000000000000003E-2</v>
      </c>
      <c r="I4937" s="1">
        <v>4.2000000000000003E-2</v>
      </c>
      <c r="J4937" s="1">
        <v>5.3100000000000001E-2</v>
      </c>
    </row>
    <row r="4938" spans="1:10" x14ac:dyDescent="0.2">
      <c r="A4938" t="str">
        <f>"05/08/2004"</f>
        <v>05/08/2004</v>
      </c>
      <c r="B4938">
        <v>3</v>
      </c>
      <c r="C4938">
        <v>12000</v>
      </c>
      <c r="D4938">
        <v>216647</v>
      </c>
      <c r="E4938">
        <v>12000</v>
      </c>
      <c r="F4938">
        <v>12000</v>
      </c>
      <c r="G4938" s="1">
        <v>4.2000000000000003E-2</v>
      </c>
      <c r="H4938" s="1">
        <v>4.2000000000000003E-2</v>
      </c>
      <c r="I4938" s="1">
        <v>4.2000000000000003E-2</v>
      </c>
      <c r="J4938" s="1">
        <v>5.3999999999999999E-2</v>
      </c>
    </row>
    <row r="4939" spans="1:10" x14ac:dyDescent="0.2">
      <c r="A4939" t="str">
        <f>"04/08/2004"</f>
        <v>04/08/2004</v>
      </c>
      <c r="B4939">
        <v>1</v>
      </c>
      <c r="C4939">
        <v>13500</v>
      </c>
      <c r="D4939">
        <v>207915</v>
      </c>
      <c r="E4939">
        <v>13500</v>
      </c>
      <c r="F4939">
        <v>13500</v>
      </c>
      <c r="G4939" s="1">
        <v>4.2000000000000003E-2</v>
      </c>
      <c r="H4939" s="1">
        <v>4.2000000000000003E-2</v>
      </c>
      <c r="I4939" s="1">
        <v>4.2000000000000003E-2</v>
      </c>
      <c r="J4939" s="1">
        <v>6.2600000000000003E-2</v>
      </c>
    </row>
    <row r="4940" spans="1:10" x14ac:dyDescent="0.2">
      <c r="A4940" t="str">
        <f>"03/08/2004"</f>
        <v>03/08/2004</v>
      </c>
      <c r="B4940">
        <v>1</v>
      </c>
      <c r="C4940">
        <v>12000</v>
      </c>
      <c r="D4940">
        <v>203317</v>
      </c>
      <c r="E4940">
        <v>12000</v>
      </c>
      <c r="F4940">
        <v>12000</v>
      </c>
      <c r="G4940" s="1">
        <v>4.2000000000000003E-2</v>
      </c>
      <c r="H4940" s="1">
        <v>4.2000000000000003E-2</v>
      </c>
      <c r="I4940" s="1">
        <v>4.2000000000000003E-2</v>
      </c>
      <c r="J4940" s="1">
        <v>5.8900000000000001E-2</v>
      </c>
    </row>
    <row r="4941" spans="1:10" x14ac:dyDescent="0.2">
      <c r="A4941" t="str">
        <f>"02/08/2004"</f>
        <v>02/08/2004</v>
      </c>
      <c r="B4941">
        <v>1</v>
      </c>
      <c r="C4941">
        <v>11500</v>
      </c>
      <c r="D4941">
        <v>206917</v>
      </c>
      <c r="E4941">
        <v>11500</v>
      </c>
      <c r="F4941">
        <v>11500</v>
      </c>
      <c r="G4941" s="1">
        <v>4.2000000000000003E-2</v>
      </c>
      <c r="H4941" s="1">
        <v>4.2000000000000003E-2</v>
      </c>
      <c r="I4941" s="1">
        <v>4.2000000000000003E-2</v>
      </c>
      <c r="J4941" s="1">
        <v>5.5500000000000001E-2</v>
      </c>
    </row>
    <row r="4942" spans="1:10" x14ac:dyDescent="0.2">
      <c r="A4942" t="str">
        <f>"01/08/2004"</f>
        <v>01/08/2004</v>
      </c>
      <c r="B4942">
        <v>1</v>
      </c>
      <c r="C4942">
        <v>11000</v>
      </c>
      <c r="D4942">
        <v>179317</v>
      </c>
      <c r="E4942">
        <v>11000</v>
      </c>
      <c r="F4942">
        <v>11000</v>
      </c>
      <c r="G4942" s="1">
        <v>4.2000000000000003E-2</v>
      </c>
      <c r="H4942" s="1">
        <v>4.2000000000000003E-2</v>
      </c>
      <c r="I4942" s="1">
        <v>4.2000000000000003E-2</v>
      </c>
      <c r="J4942" s="1">
        <v>6.13E-2</v>
      </c>
    </row>
    <row r="4943" spans="1:10" x14ac:dyDescent="0.2">
      <c r="A4943" t="str">
        <f>"29/07/2004"</f>
        <v>29/07/2004</v>
      </c>
      <c r="B4943">
        <v>3</v>
      </c>
      <c r="C4943">
        <v>7000</v>
      </c>
      <c r="D4943">
        <v>10061</v>
      </c>
      <c r="E4943">
        <v>7000</v>
      </c>
      <c r="F4943">
        <v>7000</v>
      </c>
      <c r="G4943" s="1">
        <v>4.2000000000000003E-2</v>
      </c>
      <c r="H4943" s="1">
        <v>4.2000000000000003E-2</v>
      </c>
      <c r="I4943" s="1">
        <v>4.2000000000000003E-2</v>
      </c>
      <c r="J4943" s="1">
        <v>0.69530000000000003</v>
      </c>
    </row>
    <row r="4944" spans="1:10" x14ac:dyDescent="0.2">
      <c r="A4944" t="str">
        <f>"28/07/2004"</f>
        <v>28/07/2004</v>
      </c>
      <c r="B4944">
        <v>1</v>
      </c>
      <c r="C4944">
        <v>8000</v>
      </c>
      <c r="D4944">
        <v>7082</v>
      </c>
      <c r="E4944">
        <v>7082</v>
      </c>
      <c r="F4944">
        <v>7082</v>
      </c>
      <c r="G4944" s="1">
        <v>4.2000000000000003E-2</v>
      </c>
      <c r="H4944" s="1">
        <v>4.2000000000000003E-2</v>
      </c>
      <c r="I4944" s="1">
        <v>4.2000000000000003E-2</v>
      </c>
      <c r="J4944" s="1">
        <v>1</v>
      </c>
    </row>
    <row r="4945" spans="1:10" x14ac:dyDescent="0.2">
      <c r="A4945" t="str">
        <f>"26/07/2004"</f>
        <v>26/07/2004</v>
      </c>
      <c r="B4945">
        <v>2</v>
      </c>
      <c r="C4945">
        <v>5500</v>
      </c>
      <c r="D4945">
        <v>112916</v>
      </c>
      <c r="E4945">
        <v>5500</v>
      </c>
      <c r="F4945">
        <v>5500</v>
      </c>
      <c r="G4945" s="1">
        <v>4.2000000000000003E-2</v>
      </c>
      <c r="H4945" s="1">
        <v>4.1799999999999997E-2</v>
      </c>
      <c r="I4945" s="1">
        <v>4.1799999999999997E-2</v>
      </c>
      <c r="J4945" s="1">
        <v>3.7499999999999999E-2</v>
      </c>
    </row>
    <row r="4946" spans="1:10" x14ac:dyDescent="0.2">
      <c r="A4946" t="str">
        <f>"25/07/2004"</f>
        <v>25/07/2004</v>
      </c>
      <c r="B4946">
        <v>1</v>
      </c>
      <c r="C4946">
        <v>7500</v>
      </c>
      <c r="D4946">
        <v>158617</v>
      </c>
      <c r="E4946">
        <v>7500</v>
      </c>
      <c r="F4946">
        <v>7500</v>
      </c>
      <c r="G4946" s="1">
        <v>4.2000000000000003E-2</v>
      </c>
      <c r="H4946" s="1">
        <v>4.2000000000000003E-2</v>
      </c>
      <c r="I4946" s="1">
        <v>4.2000000000000003E-2</v>
      </c>
      <c r="J4946" s="1">
        <v>4.7199999999999999E-2</v>
      </c>
    </row>
    <row r="4947" spans="1:10" x14ac:dyDescent="0.2">
      <c r="A4947" t="str">
        <f>"22/07/2004"</f>
        <v>22/07/2004</v>
      </c>
      <c r="B4947">
        <v>3</v>
      </c>
      <c r="C4947">
        <v>7500</v>
      </c>
      <c r="D4947">
        <v>158109</v>
      </c>
      <c r="E4947">
        <v>7500</v>
      </c>
      <c r="F4947">
        <v>7500</v>
      </c>
      <c r="G4947" s="1">
        <v>4.2000000000000003E-2</v>
      </c>
      <c r="H4947" s="1">
        <v>4.2000000000000003E-2</v>
      </c>
      <c r="I4947" s="1">
        <v>4.2000000000000003E-2</v>
      </c>
      <c r="J4947" s="1">
        <v>4.7300000000000002E-2</v>
      </c>
    </row>
    <row r="4948" spans="1:10" x14ac:dyDescent="0.2">
      <c r="A4948" t="str">
        <f>"21/07/2004"</f>
        <v>21/07/2004</v>
      </c>
      <c r="B4948">
        <v>1</v>
      </c>
      <c r="C4948">
        <v>5500</v>
      </c>
      <c r="D4948">
        <v>122928</v>
      </c>
      <c r="E4948">
        <v>5500</v>
      </c>
      <c r="F4948">
        <v>5500</v>
      </c>
      <c r="G4948" s="1">
        <v>4.2000000000000003E-2</v>
      </c>
      <c r="H4948" s="1">
        <v>4.2000000000000003E-2</v>
      </c>
      <c r="I4948" s="1">
        <v>4.2000000000000003E-2</v>
      </c>
      <c r="J4948" s="1">
        <v>4.4600000000000001E-2</v>
      </c>
    </row>
    <row r="4949" spans="1:10" x14ac:dyDescent="0.2">
      <c r="A4949" t="str">
        <f>"20/07/2004"</f>
        <v>20/07/2004</v>
      </c>
      <c r="B4949">
        <v>1</v>
      </c>
      <c r="C4949">
        <v>6500</v>
      </c>
      <c r="D4949">
        <v>117416</v>
      </c>
      <c r="E4949">
        <v>6500</v>
      </c>
      <c r="F4949">
        <v>6500</v>
      </c>
      <c r="G4949" s="1">
        <v>4.2000000000000003E-2</v>
      </c>
      <c r="H4949" s="1">
        <v>4.2000000000000003E-2</v>
      </c>
      <c r="I4949" s="1">
        <v>4.2000000000000003E-2</v>
      </c>
      <c r="J4949" s="1">
        <v>5.5199999999999999E-2</v>
      </c>
    </row>
    <row r="4950" spans="1:10" x14ac:dyDescent="0.2">
      <c r="A4950" t="str">
        <f>"19/07/2004"</f>
        <v>19/07/2004</v>
      </c>
      <c r="B4950">
        <v>1</v>
      </c>
      <c r="C4950">
        <v>6500</v>
      </c>
      <c r="D4950">
        <v>117116</v>
      </c>
      <c r="E4950">
        <v>6500</v>
      </c>
      <c r="F4950">
        <v>6500</v>
      </c>
      <c r="G4950" s="1">
        <v>4.2000000000000003E-2</v>
      </c>
      <c r="H4950" s="1">
        <v>4.2000000000000003E-2</v>
      </c>
      <c r="I4950" s="1">
        <v>4.2000000000000003E-2</v>
      </c>
      <c r="J4950" s="1">
        <v>5.5399999999999998E-2</v>
      </c>
    </row>
    <row r="4951" spans="1:10" x14ac:dyDescent="0.2">
      <c r="A4951" t="str">
        <f>"18/07/2004"</f>
        <v>18/07/2004</v>
      </c>
      <c r="B4951">
        <v>1</v>
      </c>
      <c r="C4951">
        <v>6500</v>
      </c>
      <c r="D4951">
        <v>118416</v>
      </c>
      <c r="E4951">
        <v>6500</v>
      </c>
      <c r="F4951">
        <v>6500</v>
      </c>
      <c r="G4951" s="1">
        <v>4.2000000000000003E-2</v>
      </c>
      <c r="H4951" s="1">
        <v>4.2000000000000003E-2</v>
      </c>
      <c r="I4951" s="1">
        <v>4.2000000000000003E-2</v>
      </c>
      <c r="J4951" s="1">
        <v>5.4800000000000001E-2</v>
      </c>
    </row>
    <row r="4952" spans="1:10" x14ac:dyDescent="0.2">
      <c r="A4952" t="str">
        <f>"15/07/2004"</f>
        <v>15/07/2004</v>
      </c>
      <c r="B4952">
        <v>3</v>
      </c>
      <c r="C4952">
        <v>6500</v>
      </c>
      <c r="D4952">
        <v>125515</v>
      </c>
      <c r="E4952">
        <v>6500</v>
      </c>
      <c r="F4952">
        <v>6500</v>
      </c>
      <c r="G4952" s="1">
        <v>4.2000000000000003E-2</v>
      </c>
      <c r="H4952" s="1">
        <v>4.2000000000000003E-2</v>
      </c>
      <c r="I4952" s="1">
        <v>4.2000000000000003E-2</v>
      </c>
      <c r="J4952" s="1">
        <v>5.1700000000000003E-2</v>
      </c>
    </row>
    <row r="4953" spans="1:10" x14ac:dyDescent="0.2">
      <c r="A4953" t="str">
        <f>"15/07/2004"</f>
        <v>15/07/2004</v>
      </c>
      <c r="B4953">
        <v>1</v>
      </c>
      <c r="C4953">
        <v>5500</v>
      </c>
      <c r="D4953">
        <v>66001</v>
      </c>
      <c r="E4953">
        <v>5500</v>
      </c>
      <c r="F4953">
        <v>5500</v>
      </c>
      <c r="G4953" s="1">
        <v>4.2000000000000003E-2</v>
      </c>
      <c r="H4953" s="1">
        <v>4.2000000000000003E-2</v>
      </c>
      <c r="I4953" s="1">
        <v>4.2000000000000003E-2</v>
      </c>
      <c r="J4953" s="1">
        <v>8.3299999999999999E-2</v>
      </c>
    </row>
    <row r="4954" spans="1:10" x14ac:dyDescent="0.2">
      <c r="A4954" t="str">
        <f>"14/07/2004"</f>
        <v>14/07/2004</v>
      </c>
      <c r="B4954">
        <v>1</v>
      </c>
      <c r="C4954">
        <v>8500</v>
      </c>
      <c r="D4954">
        <v>183666</v>
      </c>
      <c r="E4954">
        <v>8500</v>
      </c>
      <c r="F4954">
        <v>8500</v>
      </c>
      <c r="G4954" s="1">
        <v>4.2000000000000003E-2</v>
      </c>
      <c r="H4954" s="1">
        <v>4.2000000000000003E-2</v>
      </c>
      <c r="I4954" s="1">
        <v>4.2000000000000003E-2</v>
      </c>
      <c r="J4954" s="1">
        <v>4.6199999999999998E-2</v>
      </c>
    </row>
    <row r="4955" spans="1:10" x14ac:dyDescent="0.2">
      <c r="A4955" t="str">
        <f>"13/07/2004"</f>
        <v>13/07/2004</v>
      </c>
      <c r="B4955">
        <v>1</v>
      </c>
      <c r="C4955">
        <v>9500</v>
      </c>
      <c r="D4955">
        <v>191317</v>
      </c>
      <c r="E4955">
        <v>9500</v>
      </c>
      <c r="F4955">
        <v>9500</v>
      </c>
      <c r="G4955" s="1">
        <v>4.2000000000000003E-2</v>
      </c>
      <c r="H4955" s="1">
        <v>4.2000000000000003E-2</v>
      </c>
      <c r="I4955" s="1">
        <v>4.2000000000000003E-2</v>
      </c>
      <c r="J4955" s="1">
        <v>4.9599999999999998E-2</v>
      </c>
    </row>
    <row r="4956" spans="1:10" x14ac:dyDescent="0.2">
      <c r="A4956" t="str">
        <f>"12/07/2004"</f>
        <v>12/07/2004</v>
      </c>
      <c r="B4956">
        <v>1</v>
      </c>
      <c r="C4956">
        <v>9500</v>
      </c>
      <c r="D4956">
        <v>197436</v>
      </c>
      <c r="E4956">
        <v>9500</v>
      </c>
      <c r="F4956">
        <v>9500</v>
      </c>
      <c r="G4956" s="1">
        <v>4.2000000000000003E-2</v>
      </c>
      <c r="H4956" s="1">
        <v>4.2000000000000003E-2</v>
      </c>
      <c r="I4956" s="1">
        <v>4.2000000000000003E-2</v>
      </c>
      <c r="J4956" s="1">
        <v>4.8000000000000001E-2</v>
      </c>
    </row>
    <row r="4957" spans="1:10" x14ac:dyDescent="0.2">
      <c r="A4957" t="str">
        <f>"11/07/2004"</f>
        <v>11/07/2004</v>
      </c>
      <c r="B4957">
        <v>1</v>
      </c>
      <c r="C4957">
        <v>10000</v>
      </c>
      <c r="D4957">
        <v>185766</v>
      </c>
      <c r="E4957">
        <v>10000</v>
      </c>
      <c r="F4957">
        <v>10000</v>
      </c>
      <c r="G4957" s="1">
        <v>4.2000000000000003E-2</v>
      </c>
      <c r="H4957" s="1">
        <v>4.2000000000000003E-2</v>
      </c>
      <c r="I4957" s="1">
        <v>4.2000000000000003E-2</v>
      </c>
      <c r="J4957" s="1">
        <v>5.3699999999999998E-2</v>
      </c>
    </row>
    <row r="4958" spans="1:10" x14ac:dyDescent="0.2">
      <c r="A4958" t="str">
        <f>"08/07/2004"</f>
        <v>08/07/2004</v>
      </c>
      <c r="B4958">
        <v>3</v>
      </c>
      <c r="C4958">
        <v>11000</v>
      </c>
      <c r="D4958">
        <v>211116</v>
      </c>
      <c r="E4958">
        <v>11000</v>
      </c>
      <c r="F4958">
        <v>11000</v>
      </c>
      <c r="G4958" s="1">
        <v>4.2000000000000003E-2</v>
      </c>
      <c r="H4958" s="1">
        <v>4.2000000000000003E-2</v>
      </c>
      <c r="I4958" s="1">
        <v>4.2000000000000003E-2</v>
      </c>
      <c r="J4958" s="1">
        <v>5.1999999999999998E-2</v>
      </c>
    </row>
    <row r="4959" spans="1:10" x14ac:dyDescent="0.2">
      <c r="A4959" t="str">
        <f>"07/07/2004"</f>
        <v>07/07/2004</v>
      </c>
      <c r="B4959">
        <v>1</v>
      </c>
      <c r="C4959">
        <v>11000</v>
      </c>
      <c r="D4959">
        <v>222817</v>
      </c>
      <c r="E4959">
        <v>11000</v>
      </c>
      <c r="F4959">
        <v>11000</v>
      </c>
      <c r="G4959" s="1">
        <v>4.2000000000000003E-2</v>
      </c>
      <c r="H4959" s="1">
        <v>4.2000000000000003E-2</v>
      </c>
      <c r="I4959" s="1">
        <v>4.2000000000000003E-2</v>
      </c>
      <c r="J4959" s="1">
        <v>4.9299999999999997E-2</v>
      </c>
    </row>
    <row r="4960" spans="1:10" x14ac:dyDescent="0.2">
      <c r="A4960" t="str">
        <f>"06/07/2004"</f>
        <v>06/07/2004</v>
      </c>
      <c r="B4960">
        <v>1</v>
      </c>
      <c r="C4960">
        <v>13500</v>
      </c>
      <c r="D4960">
        <v>251416</v>
      </c>
      <c r="E4960">
        <v>13500</v>
      </c>
      <c r="F4960">
        <v>13500</v>
      </c>
      <c r="G4960" s="1">
        <v>4.2000000000000003E-2</v>
      </c>
      <c r="H4960" s="1">
        <v>4.2000000000000003E-2</v>
      </c>
      <c r="I4960" s="1">
        <v>4.2000000000000003E-2</v>
      </c>
      <c r="J4960" s="1">
        <v>5.3600000000000002E-2</v>
      </c>
    </row>
    <row r="4961" spans="1:10" x14ac:dyDescent="0.2">
      <c r="A4961" t="str">
        <f>"05/07/2004"</f>
        <v>05/07/2004</v>
      </c>
      <c r="B4961">
        <v>1</v>
      </c>
      <c r="C4961">
        <v>12500</v>
      </c>
      <c r="D4961">
        <v>250917</v>
      </c>
      <c r="E4961">
        <v>12500</v>
      </c>
      <c r="F4961">
        <v>12500</v>
      </c>
      <c r="G4961" s="1">
        <v>4.2000000000000003E-2</v>
      </c>
      <c r="H4961" s="1">
        <v>4.2000000000000003E-2</v>
      </c>
      <c r="I4961" s="1">
        <v>4.2000000000000003E-2</v>
      </c>
      <c r="J4961" s="1">
        <v>4.9799999999999997E-2</v>
      </c>
    </row>
    <row r="4962" spans="1:10" x14ac:dyDescent="0.2">
      <c r="A4962" t="str">
        <f>"04/07/2004"</f>
        <v>04/07/2004</v>
      </c>
      <c r="B4962">
        <v>1</v>
      </c>
      <c r="C4962">
        <v>11000</v>
      </c>
      <c r="D4962">
        <v>216618</v>
      </c>
      <c r="E4962">
        <v>11000</v>
      </c>
      <c r="F4962">
        <v>11000</v>
      </c>
      <c r="G4962" s="1">
        <v>4.2000000000000003E-2</v>
      </c>
      <c r="H4962" s="1">
        <v>4.2000000000000003E-2</v>
      </c>
      <c r="I4962" s="1">
        <v>4.2000000000000003E-2</v>
      </c>
      <c r="J4962" s="1">
        <v>5.0700000000000002E-2</v>
      </c>
    </row>
    <row r="4963" spans="1:10" x14ac:dyDescent="0.2">
      <c r="A4963" t="str">
        <f>"01/07/2004"</f>
        <v>01/07/2004</v>
      </c>
      <c r="B4963">
        <v>3</v>
      </c>
      <c r="C4963">
        <v>12000</v>
      </c>
      <c r="D4963">
        <v>208820</v>
      </c>
      <c r="E4963">
        <v>12000</v>
      </c>
      <c r="F4963">
        <v>12000</v>
      </c>
      <c r="G4963" s="1">
        <v>4.2000000000000003E-2</v>
      </c>
      <c r="H4963" s="1">
        <v>4.2000000000000003E-2</v>
      </c>
      <c r="I4963" s="1">
        <v>4.2000000000000003E-2</v>
      </c>
      <c r="J4963" s="1">
        <v>5.74E-2</v>
      </c>
    </row>
    <row r="4964" spans="1:10" x14ac:dyDescent="0.2">
      <c r="A4964" t="str">
        <f>"30/06/2004"</f>
        <v>30/06/2004</v>
      </c>
      <c r="B4964">
        <v>1</v>
      </c>
      <c r="C4964">
        <v>14800</v>
      </c>
      <c r="D4964">
        <v>11158</v>
      </c>
      <c r="E4964">
        <v>11158</v>
      </c>
      <c r="F4964">
        <v>11158</v>
      </c>
      <c r="G4964" s="1">
        <v>4.2000000000000003E-2</v>
      </c>
      <c r="H4964" s="1">
        <v>4.2000000000000003E-2</v>
      </c>
      <c r="I4964" s="1">
        <v>4.2000000000000003E-2</v>
      </c>
      <c r="J4964" s="1">
        <v>1</v>
      </c>
    </row>
    <row r="4965" spans="1:10" x14ac:dyDescent="0.2">
      <c r="A4965" t="str">
        <f>"29/06/2004"</f>
        <v>29/06/2004</v>
      </c>
      <c r="B4965">
        <v>1</v>
      </c>
      <c r="C4965">
        <v>8000</v>
      </c>
      <c r="D4965">
        <v>152653</v>
      </c>
      <c r="E4965">
        <v>8000</v>
      </c>
      <c r="F4965">
        <v>8000</v>
      </c>
      <c r="G4965" s="1">
        <v>4.2000000000000003E-2</v>
      </c>
      <c r="H4965" s="1">
        <v>4.19E-2</v>
      </c>
      <c r="I4965" s="1">
        <v>4.19E-2</v>
      </c>
      <c r="J4965" s="1">
        <v>4.6100000000000002E-2</v>
      </c>
    </row>
    <row r="4966" spans="1:10" x14ac:dyDescent="0.2">
      <c r="A4966" t="str">
        <f>"28/06/2004"</f>
        <v>28/06/2004</v>
      </c>
      <c r="B4966">
        <v>1</v>
      </c>
      <c r="C4966">
        <v>8000</v>
      </c>
      <c r="D4966">
        <v>164693</v>
      </c>
      <c r="E4966">
        <v>8000</v>
      </c>
      <c r="F4966">
        <v>8000</v>
      </c>
      <c r="G4966" s="1">
        <v>4.2000000000000003E-2</v>
      </c>
      <c r="H4966" s="1">
        <v>4.2000000000000003E-2</v>
      </c>
      <c r="I4966" s="1">
        <v>4.2000000000000003E-2</v>
      </c>
      <c r="J4966" s="1">
        <v>4.8500000000000001E-2</v>
      </c>
    </row>
    <row r="4967" spans="1:10" x14ac:dyDescent="0.2">
      <c r="A4967" t="str">
        <f>"27/06/2004"</f>
        <v>27/06/2004</v>
      </c>
      <c r="B4967">
        <v>1</v>
      </c>
      <c r="C4967">
        <v>8000</v>
      </c>
      <c r="D4967">
        <v>142292</v>
      </c>
      <c r="E4967">
        <v>8000</v>
      </c>
      <c r="F4967">
        <v>8000</v>
      </c>
      <c r="G4967" s="1">
        <v>4.2000000000000003E-2</v>
      </c>
      <c r="H4967" s="1">
        <v>4.2000000000000003E-2</v>
      </c>
      <c r="I4967" s="1">
        <v>4.2000000000000003E-2</v>
      </c>
      <c r="J4967" s="1">
        <v>5.6099999999999997E-2</v>
      </c>
    </row>
    <row r="4968" spans="1:10" x14ac:dyDescent="0.2">
      <c r="A4968" t="str">
        <f>"24/06/2004"</f>
        <v>24/06/2004</v>
      </c>
      <c r="B4968">
        <v>3</v>
      </c>
      <c r="C4968">
        <v>8000</v>
      </c>
      <c r="D4968">
        <v>146393</v>
      </c>
      <c r="E4968">
        <v>8000</v>
      </c>
      <c r="F4968">
        <v>8000</v>
      </c>
      <c r="G4968" s="1">
        <v>4.2000000000000003E-2</v>
      </c>
      <c r="H4968" s="1">
        <v>4.2000000000000003E-2</v>
      </c>
      <c r="I4968" s="1">
        <v>4.2000000000000003E-2</v>
      </c>
      <c r="J4968" s="1">
        <v>5.4600000000000003E-2</v>
      </c>
    </row>
    <row r="4969" spans="1:10" x14ac:dyDescent="0.2">
      <c r="A4969" t="str">
        <f>"23/06/2004"</f>
        <v>23/06/2004</v>
      </c>
      <c r="B4969">
        <v>1</v>
      </c>
      <c r="C4969">
        <v>9000</v>
      </c>
      <c r="D4969">
        <v>167314</v>
      </c>
      <c r="E4969">
        <v>9000</v>
      </c>
      <c r="F4969">
        <v>9000</v>
      </c>
      <c r="G4969" s="1">
        <v>4.2000000000000003E-2</v>
      </c>
      <c r="H4969" s="1">
        <v>4.2000000000000003E-2</v>
      </c>
      <c r="I4969" s="1">
        <v>4.2000000000000003E-2</v>
      </c>
      <c r="J4969" s="1">
        <v>5.3699999999999998E-2</v>
      </c>
    </row>
    <row r="4970" spans="1:10" x14ac:dyDescent="0.2">
      <c r="A4970" t="str">
        <f>"22/06/2004"</f>
        <v>22/06/2004</v>
      </c>
      <c r="B4970">
        <v>1</v>
      </c>
      <c r="C4970">
        <v>10000</v>
      </c>
      <c r="D4970">
        <v>183414</v>
      </c>
      <c r="E4970">
        <v>10000</v>
      </c>
      <c r="F4970">
        <v>10000</v>
      </c>
      <c r="G4970" s="1">
        <v>4.2000000000000003E-2</v>
      </c>
      <c r="H4970" s="1">
        <v>4.2000000000000003E-2</v>
      </c>
      <c r="I4970" s="1">
        <v>4.2000000000000003E-2</v>
      </c>
      <c r="J4970" s="1">
        <v>5.4399999999999997E-2</v>
      </c>
    </row>
    <row r="4971" spans="1:10" x14ac:dyDescent="0.2">
      <c r="A4971" t="str">
        <f>"21/06/2004"</f>
        <v>21/06/2004</v>
      </c>
      <c r="B4971">
        <v>1</v>
      </c>
      <c r="C4971">
        <v>10000</v>
      </c>
      <c r="D4971">
        <v>185113</v>
      </c>
      <c r="E4971">
        <v>10000</v>
      </c>
      <c r="F4971">
        <v>10000</v>
      </c>
      <c r="G4971" s="1">
        <v>4.2000000000000003E-2</v>
      </c>
      <c r="H4971" s="1">
        <v>4.2000000000000003E-2</v>
      </c>
      <c r="I4971" s="1">
        <v>4.2000000000000003E-2</v>
      </c>
      <c r="J4971" s="1">
        <v>5.3999999999999999E-2</v>
      </c>
    </row>
    <row r="4972" spans="1:10" x14ac:dyDescent="0.2">
      <c r="A4972" t="str">
        <f>"20/06/2004"</f>
        <v>20/06/2004</v>
      </c>
      <c r="B4972">
        <v>1</v>
      </c>
      <c r="C4972">
        <v>11000</v>
      </c>
      <c r="D4972">
        <v>200272</v>
      </c>
      <c r="E4972">
        <v>11000</v>
      </c>
      <c r="F4972">
        <v>11000</v>
      </c>
      <c r="G4972" s="1">
        <v>4.2000000000000003E-2</v>
      </c>
      <c r="H4972" s="1">
        <v>4.2000000000000003E-2</v>
      </c>
      <c r="I4972" s="1">
        <v>4.2000000000000003E-2</v>
      </c>
      <c r="J4972" s="1">
        <v>5.4199999999999998E-2</v>
      </c>
    </row>
    <row r="4973" spans="1:10" x14ac:dyDescent="0.2">
      <c r="A4973" t="str">
        <f>"17/06/2004"</f>
        <v>17/06/2004</v>
      </c>
      <c r="B4973">
        <v>3</v>
      </c>
      <c r="C4973">
        <v>7000</v>
      </c>
      <c r="D4973">
        <v>157813</v>
      </c>
      <c r="E4973">
        <v>7000</v>
      </c>
      <c r="F4973">
        <v>7000</v>
      </c>
      <c r="G4973" s="1">
        <v>4.2000000000000003E-2</v>
      </c>
      <c r="H4973" s="1">
        <v>4.2000000000000003E-2</v>
      </c>
      <c r="I4973" s="1">
        <v>4.2000000000000003E-2</v>
      </c>
      <c r="J4973" s="1">
        <v>4.3099999999999999E-2</v>
      </c>
    </row>
    <row r="4974" spans="1:10" x14ac:dyDescent="0.2">
      <c r="A4974" t="str">
        <f>"16/06/2004"</f>
        <v>16/06/2004</v>
      </c>
      <c r="B4974">
        <v>1</v>
      </c>
      <c r="C4974">
        <v>5500</v>
      </c>
      <c r="D4974">
        <v>117312</v>
      </c>
      <c r="E4974">
        <v>5500</v>
      </c>
      <c r="F4974">
        <v>5500</v>
      </c>
      <c r="G4974" s="1">
        <v>4.2000000000000003E-2</v>
      </c>
      <c r="H4974" s="1">
        <v>4.2000000000000003E-2</v>
      </c>
      <c r="I4974" s="1">
        <v>4.2000000000000003E-2</v>
      </c>
      <c r="J4974" s="1">
        <v>4.6800000000000001E-2</v>
      </c>
    </row>
    <row r="4975" spans="1:10" x14ac:dyDescent="0.2">
      <c r="A4975" t="str">
        <f>"15/06/2004"</f>
        <v>15/06/2004</v>
      </c>
      <c r="B4975">
        <v>1</v>
      </c>
      <c r="C4975">
        <v>10500</v>
      </c>
      <c r="D4975">
        <v>201805</v>
      </c>
      <c r="E4975">
        <v>10500</v>
      </c>
      <c r="F4975">
        <v>10500</v>
      </c>
      <c r="G4975" s="1">
        <v>4.2000000000000003E-2</v>
      </c>
      <c r="H4975" s="1">
        <v>4.2000000000000003E-2</v>
      </c>
      <c r="I4975" s="1">
        <v>4.2000000000000003E-2</v>
      </c>
      <c r="J4975" s="1">
        <v>5.0999999999999997E-2</v>
      </c>
    </row>
    <row r="4976" spans="1:10" x14ac:dyDescent="0.2">
      <c r="A4976" t="str">
        <f>"14/06/2004"</f>
        <v>14/06/2004</v>
      </c>
      <c r="B4976">
        <v>1</v>
      </c>
      <c r="C4976">
        <v>12000</v>
      </c>
      <c r="D4976">
        <v>223895</v>
      </c>
      <c r="E4976">
        <v>12000</v>
      </c>
      <c r="F4976">
        <v>12000</v>
      </c>
      <c r="G4976" s="1">
        <v>4.2000000000000003E-2</v>
      </c>
      <c r="H4976" s="1">
        <v>4.2000000000000003E-2</v>
      </c>
      <c r="I4976" s="1">
        <v>4.2000000000000003E-2</v>
      </c>
      <c r="J4976" s="1">
        <v>5.2299999999999999E-2</v>
      </c>
    </row>
    <row r="4977" spans="1:10" x14ac:dyDescent="0.2">
      <c r="A4977" t="str">
        <f>"13/06/2004"</f>
        <v>13/06/2004</v>
      </c>
      <c r="B4977">
        <v>1</v>
      </c>
      <c r="C4977">
        <v>13000</v>
      </c>
      <c r="D4977">
        <v>247616</v>
      </c>
      <c r="E4977">
        <v>13000</v>
      </c>
      <c r="F4977">
        <v>13000</v>
      </c>
      <c r="G4977" s="1">
        <v>4.2000000000000003E-2</v>
      </c>
      <c r="H4977" s="1">
        <v>4.2000000000000003E-2</v>
      </c>
      <c r="I4977" s="1">
        <v>4.2000000000000003E-2</v>
      </c>
      <c r="J4977" s="1">
        <v>5.1700000000000003E-2</v>
      </c>
    </row>
    <row r="4978" spans="1:10" x14ac:dyDescent="0.2">
      <c r="A4978" t="str">
        <f>"10/06/2004"</f>
        <v>10/06/2004</v>
      </c>
      <c r="B4978">
        <v>3</v>
      </c>
      <c r="C4978">
        <v>13000</v>
      </c>
      <c r="D4978">
        <v>244756</v>
      </c>
      <c r="E4978">
        <v>13000</v>
      </c>
      <c r="F4978">
        <v>13000</v>
      </c>
      <c r="G4978" s="1">
        <v>4.2000000000000003E-2</v>
      </c>
      <c r="H4978" s="1">
        <v>4.2000000000000003E-2</v>
      </c>
      <c r="I4978" s="1">
        <v>4.2000000000000003E-2</v>
      </c>
      <c r="J4978" s="1">
        <v>5.1900000000000002E-2</v>
      </c>
    </row>
    <row r="4979" spans="1:10" x14ac:dyDescent="0.2">
      <c r="A4979" t="str">
        <f>"09/06/2004"</f>
        <v>09/06/2004</v>
      </c>
      <c r="B4979">
        <v>1</v>
      </c>
      <c r="C4979">
        <v>13000</v>
      </c>
      <c r="D4979">
        <v>254312</v>
      </c>
      <c r="E4979">
        <v>13000</v>
      </c>
      <c r="F4979">
        <v>13000</v>
      </c>
      <c r="G4979" s="1">
        <v>4.2000000000000003E-2</v>
      </c>
      <c r="H4979" s="1">
        <v>4.2000000000000003E-2</v>
      </c>
      <c r="I4979" s="1">
        <v>4.2000000000000003E-2</v>
      </c>
      <c r="J4979" s="1">
        <v>5.11E-2</v>
      </c>
    </row>
    <row r="4980" spans="1:10" x14ac:dyDescent="0.2">
      <c r="A4980" t="str">
        <f>"08/06/2004"</f>
        <v>08/06/2004</v>
      </c>
      <c r="B4980">
        <v>1</v>
      </c>
      <c r="C4980">
        <v>12500</v>
      </c>
      <c r="D4980">
        <v>240113</v>
      </c>
      <c r="E4980">
        <v>12500</v>
      </c>
      <c r="F4980">
        <v>12500</v>
      </c>
      <c r="G4980" s="1">
        <v>4.2000000000000003E-2</v>
      </c>
      <c r="H4980" s="1">
        <v>4.2000000000000003E-2</v>
      </c>
      <c r="I4980" s="1">
        <v>4.2000000000000003E-2</v>
      </c>
      <c r="J4980" s="1">
        <v>5.1200000000000002E-2</v>
      </c>
    </row>
    <row r="4981" spans="1:10" x14ac:dyDescent="0.2">
      <c r="A4981" t="str">
        <f>"07/06/2004"</f>
        <v>07/06/2004</v>
      </c>
      <c r="B4981">
        <v>1</v>
      </c>
      <c r="C4981">
        <v>12500</v>
      </c>
      <c r="D4981">
        <v>233853</v>
      </c>
      <c r="E4981">
        <v>12500</v>
      </c>
      <c r="F4981">
        <v>12500</v>
      </c>
      <c r="G4981" s="1">
        <v>4.2000000000000003E-2</v>
      </c>
      <c r="H4981" s="1">
        <v>4.2000000000000003E-2</v>
      </c>
      <c r="I4981" s="1">
        <v>4.2000000000000003E-2</v>
      </c>
      <c r="J4981" s="1">
        <v>5.2600000000000001E-2</v>
      </c>
    </row>
    <row r="4982" spans="1:10" x14ac:dyDescent="0.2">
      <c r="A4982" t="str">
        <f>"06/06/2004"</f>
        <v>06/06/2004</v>
      </c>
      <c r="B4982">
        <v>1</v>
      </c>
      <c r="C4982">
        <v>12000</v>
      </c>
      <c r="D4982">
        <v>232513</v>
      </c>
      <c r="E4982">
        <v>12000</v>
      </c>
      <c r="F4982">
        <v>12000</v>
      </c>
      <c r="G4982" s="1">
        <v>4.2000000000000003E-2</v>
      </c>
      <c r="H4982" s="1">
        <v>4.2000000000000003E-2</v>
      </c>
      <c r="I4982" s="1">
        <v>4.2000000000000003E-2</v>
      </c>
      <c r="J4982" s="1">
        <v>4.9500000000000002E-2</v>
      </c>
    </row>
    <row r="4983" spans="1:10" x14ac:dyDescent="0.2">
      <c r="A4983" t="str">
        <f>"03/06/2004"</f>
        <v>03/06/2004</v>
      </c>
      <c r="B4983">
        <v>3</v>
      </c>
      <c r="C4983">
        <v>12000</v>
      </c>
      <c r="D4983">
        <v>219513</v>
      </c>
      <c r="E4983">
        <v>12000</v>
      </c>
      <c r="F4983">
        <v>12000</v>
      </c>
      <c r="G4983" s="1">
        <v>4.2000000000000003E-2</v>
      </c>
      <c r="H4983" s="1">
        <v>4.2000000000000003E-2</v>
      </c>
      <c r="I4983" s="1">
        <v>4.2000000000000003E-2</v>
      </c>
      <c r="J4983" s="1">
        <v>5.2499999999999998E-2</v>
      </c>
    </row>
    <row r="4984" spans="1:10" x14ac:dyDescent="0.2">
      <c r="A4984" t="str">
        <f>"02/06/2004"</f>
        <v>02/06/2004</v>
      </c>
      <c r="B4984">
        <v>1</v>
      </c>
      <c r="C4984">
        <v>17000</v>
      </c>
      <c r="D4984">
        <v>288665</v>
      </c>
      <c r="E4984">
        <v>17000</v>
      </c>
      <c r="F4984">
        <v>17000</v>
      </c>
      <c r="G4984" s="1">
        <v>4.2000000000000003E-2</v>
      </c>
      <c r="H4984" s="1">
        <v>4.2000000000000003E-2</v>
      </c>
      <c r="I4984" s="1">
        <v>4.2000000000000003E-2</v>
      </c>
      <c r="J4984" s="1">
        <v>5.8799999999999998E-2</v>
      </c>
    </row>
    <row r="4985" spans="1:10" x14ac:dyDescent="0.2">
      <c r="A4985" t="str">
        <f>"01/06/2004"</f>
        <v>01/06/2004</v>
      </c>
      <c r="B4985">
        <v>1</v>
      </c>
      <c r="C4985">
        <v>14000</v>
      </c>
      <c r="D4985">
        <v>254864</v>
      </c>
      <c r="E4985">
        <v>14000</v>
      </c>
      <c r="F4985">
        <v>14000</v>
      </c>
      <c r="G4985" s="1">
        <v>4.2000000000000003E-2</v>
      </c>
      <c r="H4985" s="1">
        <v>4.2000000000000003E-2</v>
      </c>
      <c r="I4985" s="1">
        <v>4.2000000000000003E-2</v>
      </c>
      <c r="J4985" s="1">
        <v>5.4899999999999997E-2</v>
      </c>
    </row>
    <row r="4986" spans="1:10" x14ac:dyDescent="0.2">
      <c r="A4986" t="str">
        <f>"31/05/2004"</f>
        <v>31/05/2004</v>
      </c>
      <c r="B4986">
        <v>1</v>
      </c>
      <c r="C4986">
        <v>11000</v>
      </c>
      <c r="D4986">
        <v>12387</v>
      </c>
      <c r="E4986">
        <v>11000</v>
      </c>
      <c r="F4986">
        <v>11000</v>
      </c>
      <c r="G4986" s="1">
        <v>4.2000000000000003E-2</v>
      </c>
      <c r="H4986" s="1">
        <v>4.2000000000000003E-2</v>
      </c>
      <c r="I4986" s="1">
        <v>4.2000000000000003E-2</v>
      </c>
      <c r="J4986" s="1">
        <v>0.88790000000000002</v>
      </c>
    </row>
    <row r="4987" spans="1:10" x14ac:dyDescent="0.2">
      <c r="A4987" t="str">
        <f>"30/05/2004"</f>
        <v>30/05/2004</v>
      </c>
      <c r="B4987">
        <v>1</v>
      </c>
      <c r="C4987">
        <v>9000</v>
      </c>
      <c r="D4987">
        <v>153554</v>
      </c>
      <c r="E4987">
        <v>9000</v>
      </c>
      <c r="F4987">
        <v>9000</v>
      </c>
      <c r="G4987" s="1">
        <v>4.2000000000000003E-2</v>
      </c>
      <c r="H4987" s="1">
        <v>4.19E-2</v>
      </c>
      <c r="I4987" s="1">
        <v>4.19E-2</v>
      </c>
      <c r="J4987" s="1">
        <v>5.5399999999999998E-2</v>
      </c>
    </row>
    <row r="4988" spans="1:10" x14ac:dyDescent="0.2">
      <c r="A4988" t="str">
        <f>"27/05/2004"</f>
        <v>27/05/2004</v>
      </c>
      <c r="B4988">
        <v>3</v>
      </c>
      <c r="C4988">
        <v>6500</v>
      </c>
      <c r="D4988">
        <v>3716</v>
      </c>
      <c r="E4988">
        <v>3716</v>
      </c>
      <c r="F4988">
        <v>3716</v>
      </c>
      <c r="G4988" s="1">
        <v>4.2000000000000003E-2</v>
      </c>
      <c r="H4988" s="1">
        <v>4.2000000000000003E-2</v>
      </c>
      <c r="I4988" s="1">
        <v>4.2000000000000003E-2</v>
      </c>
      <c r="J4988" s="1">
        <v>1</v>
      </c>
    </row>
    <row r="4989" spans="1:10" x14ac:dyDescent="0.2">
      <c r="A4989" t="str">
        <f>"25/05/2004"</f>
        <v>25/05/2004</v>
      </c>
      <c r="B4989">
        <v>2</v>
      </c>
      <c r="C4989">
        <v>4000</v>
      </c>
      <c r="D4989">
        <v>3108</v>
      </c>
      <c r="E4989">
        <v>3108</v>
      </c>
      <c r="F4989">
        <v>3108</v>
      </c>
      <c r="G4989" s="1">
        <v>4.2000000000000003E-2</v>
      </c>
      <c r="H4989" s="1">
        <v>4.2000000000000003E-2</v>
      </c>
      <c r="I4989" s="1">
        <v>4.2000000000000003E-2</v>
      </c>
      <c r="J4989" s="1">
        <v>1</v>
      </c>
    </row>
    <row r="4990" spans="1:10" x14ac:dyDescent="0.2">
      <c r="A4990" t="str">
        <f>"24/05/2004"</f>
        <v>24/05/2004</v>
      </c>
      <c r="B4990">
        <v>1</v>
      </c>
      <c r="C4990">
        <v>3500</v>
      </c>
      <c r="D4990">
        <v>44992</v>
      </c>
      <c r="E4990">
        <v>3500</v>
      </c>
      <c r="F4990">
        <v>3500</v>
      </c>
      <c r="G4990" s="1">
        <v>4.2000000000000003E-2</v>
      </c>
      <c r="H4990" s="1">
        <v>4.2000000000000003E-2</v>
      </c>
      <c r="I4990" s="1">
        <v>4.2000000000000003E-2</v>
      </c>
      <c r="J4990" s="1">
        <v>7.7499999999999999E-2</v>
      </c>
    </row>
    <row r="4991" spans="1:10" x14ac:dyDescent="0.2">
      <c r="A4991" t="str">
        <f>"23/05/2004"</f>
        <v>23/05/2004</v>
      </c>
      <c r="B4991">
        <v>1</v>
      </c>
      <c r="C4991">
        <v>6000</v>
      </c>
      <c r="D4991">
        <v>89412</v>
      </c>
      <c r="E4991">
        <v>6000</v>
      </c>
      <c r="F4991">
        <v>6000</v>
      </c>
      <c r="G4991" s="1">
        <v>4.2000000000000003E-2</v>
      </c>
      <c r="H4991" s="1">
        <v>4.2000000000000003E-2</v>
      </c>
      <c r="I4991" s="1">
        <v>4.2000000000000003E-2</v>
      </c>
      <c r="J4991" s="1">
        <v>6.4399999999999999E-2</v>
      </c>
    </row>
    <row r="4992" spans="1:10" x14ac:dyDescent="0.2">
      <c r="A4992" t="str">
        <f>"20/05/2004"</f>
        <v>20/05/2004</v>
      </c>
      <c r="B4992">
        <v>3</v>
      </c>
      <c r="C4992">
        <v>7500</v>
      </c>
      <c r="D4992">
        <v>135311</v>
      </c>
      <c r="E4992">
        <v>7500</v>
      </c>
      <c r="F4992">
        <v>7500</v>
      </c>
      <c r="G4992" s="1">
        <v>4.2000000000000003E-2</v>
      </c>
      <c r="H4992" s="1">
        <v>4.2000000000000003E-2</v>
      </c>
      <c r="I4992" s="1">
        <v>4.2000000000000003E-2</v>
      </c>
      <c r="J4992" s="1">
        <v>5.5399999999999998E-2</v>
      </c>
    </row>
    <row r="4993" spans="1:10" x14ac:dyDescent="0.2">
      <c r="A4993" t="str">
        <f>"19/05/2004"</f>
        <v>19/05/2004</v>
      </c>
      <c r="B4993">
        <v>1</v>
      </c>
      <c r="C4993">
        <v>5000</v>
      </c>
      <c r="D4993">
        <v>90013</v>
      </c>
      <c r="E4993">
        <v>5000</v>
      </c>
      <c r="F4993">
        <v>5000</v>
      </c>
      <c r="G4993" s="1">
        <v>4.2000000000000003E-2</v>
      </c>
      <c r="H4993" s="1">
        <v>4.2000000000000003E-2</v>
      </c>
      <c r="I4993" s="1">
        <v>4.2000000000000003E-2</v>
      </c>
      <c r="J4993" s="1">
        <v>5.5399999999999998E-2</v>
      </c>
    </row>
    <row r="4994" spans="1:10" x14ac:dyDescent="0.2">
      <c r="A4994" t="str">
        <f>"18/05/2004"</f>
        <v>18/05/2004</v>
      </c>
      <c r="B4994">
        <v>1</v>
      </c>
      <c r="C4994">
        <v>4000</v>
      </c>
      <c r="D4994">
        <v>81113</v>
      </c>
      <c r="E4994">
        <v>4000</v>
      </c>
      <c r="F4994">
        <v>4000</v>
      </c>
      <c r="G4994" s="1">
        <v>4.2000000000000003E-2</v>
      </c>
      <c r="H4994" s="1">
        <v>4.2000000000000003E-2</v>
      </c>
      <c r="I4994" s="1">
        <v>4.2000000000000003E-2</v>
      </c>
      <c r="J4994" s="1">
        <v>4.7399999999999998E-2</v>
      </c>
    </row>
    <row r="4995" spans="1:10" x14ac:dyDescent="0.2">
      <c r="A4995" t="str">
        <f>"17/05/2004"</f>
        <v>17/05/2004</v>
      </c>
      <c r="B4995">
        <v>1</v>
      </c>
      <c r="C4995">
        <v>6000</v>
      </c>
      <c r="D4995">
        <v>98813</v>
      </c>
      <c r="E4995">
        <v>6000</v>
      </c>
      <c r="F4995">
        <v>6000</v>
      </c>
      <c r="G4995" s="1">
        <v>4.2000000000000003E-2</v>
      </c>
      <c r="H4995" s="1">
        <v>4.2000000000000003E-2</v>
      </c>
      <c r="I4995" s="1">
        <v>4.2000000000000003E-2</v>
      </c>
      <c r="J4995" s="1">
        <v>5.8200000000000002E-2</v>
      </c>
    </row>
    <row r="4996" spans="1:10" x14ac:dyDescent="0.2">
      <c r="A4996" t="str">
        <f>"16/05/2004"</f>
        <v>16/05/2004</v>
      </c>
      <c r="B4996">
        <v>1</v>
      </c>
      <c r="C4996">
        <v>14000</v>
      </c>
      <c r="D4996">
        <v>202714</v>
      </c>
      <c r="E4996">
        <v>14000</v>
      </c>
      <c r="F4996">
        <v>14000</v>
      </c>
      <c r="G4996" s="1">
        <v>4.2000000000000003E-2</v>
      </c>
      <c r="H4996" s="1">
        <v>4.2000000000000003E-2</v>
      </c>
      <c r="I4996" s="1">
        <v>4.2000000000000003E-2</v>
      </c>
      <c r="J4996" s="1">
        <v>6.7199999999999996E-2</v>
      </c>
    </row>
    <row r="4997" spans="1:10" x14ac:dyDescent="0.2">
      <c r="A4997" t="str">
        <f>"13/05/2004"</f>
        <v>13/05/2004</v>
      </c>
      <c r="B4997">
        <v>3</v>
      </c>
      <c r="C4997">
        <v>15500</v>
      </c>
      <c r="D4997">
        <v>234713</v>
      </c>
      <c r="E4997">
        <v>15500</v>
      </c>
      <c r="F4997">
        <v>15500</v>
      </c>
      <c r="G4997" s="1">
        <v>4.2000000000000003E-2</v>
      </c>
      <c r="H4997" s="1">
        <v>4.2000000000000003E-2</v>
      </c>
      <c r="I4997" s="1">
        <v>4.2000000000000003E-2</v>
      </c>
      <c r="J4997" s="1">
        <v>6.3399999999999998E-2</v>
      </c>
    </row>
    <row r="4998" spans="1:10" x14ac:dyDescent="0.2">
      <c r="A4998" t="str">
        <f>"12/05/2004"</f>
        <v>12/05/2004</v>
      </c>
      <c r="B4998">
        <v>1</v>
      </c>
      <c r="C4998">
        <v>10000</v>
      </c>
      <c r="D4998">
        <v>169314</v>
      </c>
      <c r="E4998">
        <v>10000</v>
      </c>
      <c r="F4998">
        <v>10000</v>
      </c>
      <c r="G4998" s="1">
        <v>4.2000000000000003E-2</v>
      </c>
      <c r="H4998" s="1">
        <v>4.2000000000000003E-2</v>
      </c>
      <c r="I4998" s="1">
        <v>4.2000000000000003E-2</v>
      </c>
      <c r="J4998" s="1">
        <v>5.8999999999999997E-2</v>
      </c>
    </row>
    <row r="4999" spans="1:10" x14ac:dyDescent="0.2">
      <c r="A4999" t="str">
        <f>"11/05/2004"</f>
        <v>11/05/2004</v>
      </c>
      <c r="B4999">
        <v>1</v>
      </c>
      <c r="C4999">
        <v>11000</v>
      </c>
      <c r="D4999">
        <v>200004</v>
      </c>
      <c r="E4999">
        <v>11000</v>
      </c>
      <c r="F4999">
        <v>11000</v>
      </c>
      <c r="G4999" s="1">
        <v>4.2000000000000003E-2</v>
      </c>
      <c r="H4999" s="1">
        <v>4.19E-2</v>
      </c>
      <c r="I4999" s="1">
        <v>4.19E-2</v>
      </c>
      <c r="J4999" s="1">
        <v>5.1400000000000001E-2</v>
      </c>
    </row>
    <row r="5000" spans="1:10" x14ac:dyDescent="0.2">
      <c r="A5000" t="str">
        <f>"10/05/2004"</f>
        <v>10/05/2004</v>
      </c>
      <c r="B5000">
        <v>1</v>
      </c>
      <c r="C5000">
        <v>11000</v>
      </c>
      <c r="D5000">
        <v>193404</v>
      </c>
      <c r="E5000">
        <v>11000</v>
      </c>
      <c r="F5000">
        <v>11000</v>
      </c>
      <c r="G5000" s="1">
        <v>4.2000000000000003E-2</v>
      </c>
      <c r="H5000" s="1">
        <v>4.2000000000000003E-2</v>
      </c>
      <c r="I5000" s="1">
        <v>4.2000000000000003E-2</v>
      </c>
      <c r="J5000" s="1">
        <v>5.4399999999999997E-2</v>
      </c>
    </row>
    <row r="5001" spans="1:10" x14ac:dyDescent="0.2">
      <c r="A5001" t="str">
        <f>"09/05/2004"</f>
        <v>09/05/2004</v>
      </c>
      <c r="B5001">
        <v>1</v>
      </c>
      <c r="C5001">
        <v>11500</v>
      </c>
      <c r="D5001">
        <v>187615</v>
      </c>
      <c r="E5001">
        <v>11500</v>
      </c>
      <c r="F5001">
        <v>11500</v>
      </c>
      <c r="G5001" s="1">
        <v>4.2000000000000003E-2</v>
      </c>
      <c r="H5001" s="1">
        <v>4.19E-2</v>
      </c>
      <c r="I5001" s="1">
        <v>4.19E-2</v>
      </c>
      <c r="J5001" s="1">
        <v>5.7500000000000002E-2</v>
      </c>
    </row>
    <row r="5002" spans="1:10" x14ac:dyDescent="0.2">
      <c r="A5002" t="str">
        <f>"06/05/2004"</f>
        <v>06/05/2004</v>
      </c>
      <c r="B5002">
        <v>3</v>
      </c>
      <c r="C5002">
        <v>11500</v>
      </c>
      <c r="D5002">
        <v>213014</v>
      </c>
      <c r="E5002">
        <v>11500</v>
      </c>
      <c r="F5002">
        <v>11500</v>
      </c>
      <c r="G5002" s="1">
        <v>4.2000000000000003E-2</v>
      </c>
      <c r="H5002" s="1">
        <v>4.2000000000000003E-2</v>
      </c>
      <c r="I5002" s="1">
        <v>4.2000000000000003E-2</v>
      </c>
      <c r="J5002" s="1">
        <v>5.1700000000000003E-2</v>
      </c>
    </row>
    <row r="5003" spans="1:10" x14ac:dyDescent="0.2">
      <c r="A5003" t="str">
        <f>"05/05/2004"</f>
        <v>05/05/2004</v>
      </c>
      <c r="B5003">
        <v>1</v>
      </c>
      <c r="C5003">
        <v>10000</v>
      </c>
      <c r="D5003">
        <v>182716</v>
      </c>
      <c r="E5003">
        <v>10000</v>
      </c>
      <c r="F5003">
        <v>10000</v>
      </c>
      <c r="G5003" s="1">
        <v>4.2000000000000003E-2</v>
      </c>
      <c r="H5003" s="1">
        <v>4.19E-2</v>
      </c>
      <c r="I5003" s="1">
        <v>4.19E-2</v>
      </c>
      <c r="J5003" s="1">
        <v>5.1499999999999997E-2</v>
      </c>
    </row>
    <row r="5004" spans="1:10" x14ac:dyDescent="0.2">
      <c r="A5004" t="str">
        <f>"04/05/2004"</f>
        <v>04/05/2004</v>
      </c>
      <c r="B5004">
        <v>1</v>
      </c>
      <c r="C5004">
        <v>8000</v>
      </c>
      <c r="D5004">
        <v>156917</v>
      </c>
      <c r="E5004">
        <v>8000</v>
      </c>
      <c r="F5004">
        <v>8000</v>
      </c>
      <c r="G5004" s="1">
        <v>4.2000000000000003E-2</v>
      </c>
      <c r="H5004" s="1">
        <v>4.2000000000000003E-2</v>
      </c>
      <c r="I5004" s="1">
        <v>4.2000000000000003E-2</v>
      </c>
      <c r="J5004" s="1">
        <v>4.8800000000000003E-2</v>
      </c>
    </row>
    <row r="5005" spans="1:10" x14ac:dyDescent="0.2">
      <c r="A5005" t="str">
        <f>"03/05/2004"</f>
        <v>03/05/2004</v>
      </c>
      <c r="B5005">
        <v>1</v>
      </c>
      <c r="C5005">
        <v>8000</v>
      </c>
      <c r="D5005">
        <v>142686</v>
      </c>
      <c r="E5005">
        <v>8000</v>
      </c>
      <c r="F5005">
        <v>8000</v>
      </c>
      <c r="G5005" s="1">
        <v>4.2000000000000003E-2</v>
      </c>
      <c r="H5005" s="1">
        <v>4.2000000000000003E-2</v>
      </c>
      <c r="I5005" s="1">
        <v>4.2000000000000003E-2</v>
      </c>
      <c r="J5005" s="1">
        <v>5.6000000000000001E-2</v>
      </c>
    </row>
    <row r="5006" spans="1:10" x14ac:dyDescent="0.2">
      <c r="A5006" t="str">
        <f>"02/05/2004"</f>
        <v>02/05/2004</v>
      </c>
      <c r="B5006">
        <v>1</v>
      </c>
      <c r="C5006">
        <v>9000</v>
      </c>
      <c r="D5006">
        <v>132319</v>
      </c>
      <c r="E5006">
        <v>9000</v>
      </c>
      <c r="F5006">
        <v>9000</v>
      </c>
      <c r="G5006" s="1">
        <v>4.2000000000000003E-2</v>
      </c>
      <c r="H5006" s="1">
        <v>4.2000000000000003E-2</v>
      </c>
      <c r="I5006" s="1">
        <v>4.2000000000000003E-2</v>
      </c>
      <c r="J5006" s="1">
        <v>6.7900000000000002E-2</v>
      </c>
    </row>
    <row r="5007" spans="1:10" x14ac:dyDescent="0.2">
      <c r="A5007" t="str">
        <f>"29/04/2004"</f>
        <v>29/04/2004</v>
      </c>
      <c r="B5007">
        <v>3</v>
      </c>
      <c r="C5007">
        <v>5000</v>
      </c>
      <c r="D5007">
        <v>7899</v>
      </c>
      <c r="E5007">
        <v>5000</v>
      </c>
      <c r="F5007">
        <v>5000</v>
      </c>
      <c r="G5007" s="1">
        <v>4.2000000000000003E-2</v>
      </c>
      <c r="H5007" s="1">
        <v>4.2000000000000003E-2</v>
      </c>
      <c r="I5007" s="1">
        <v>4.2000000000000003E-2</v>
      </c>
      <c r="J5007" s="1">
        <v>0.6321</v>
      </c>
    </row>
    <row r="5008" spans="1:10" x14ac:dyDescent="0.2">
      <c r="A5008" t="str">
        <f>"28/04/2004"</f>
        <v>28/04/2004</v>
      </c>
      <c r="B5008">
        <v>1</v>
      </c>
      <c r="C5008">
        <v>7000</v>
      </c>
      <c r="D5008">
        <v>6017</v>
      </c>
      <c r="E5008">
        <v>6017</v>
      </c>
      <c r="F5008">
        <v>6017</v>
      </c>
      <c r="G5008" s="1">
        <v>4.2000000000000003E-2</v>
      </c>
      <c r="H5008" s="1">
        <v>4.2000000000000003E-2</v>
      </c>
      <c r="I5008" s="1">
        <v>4.2000000000000003E-2</v>
      </c>
      <c r="J5008" s="1">
        <v>1</v>
      </c>
    </row>
    <row r="5009" spans="1:10" x14ac:dyDescent="0.2">
      <c r="A5009" t="str">
        <f>"26/04/2004"</f>
        <v>26/04/2004</v>
      </c>
      <c r="B5009">
        <v>2</v>
      </c>
      <c r="C5009">
        <v>7000</v>
      </c>
      <c r="D5009">
        <v>112018</v>
      </c>
      <c r="E5009">
        <v>7000</v>
      </c>
      <c r="F5009">
        <v>7000</v>
      </c>
      <c r="G5009" s="1">
        <v>4.2000000000000003E-2</v>
      </c>
      <c r="H5009" s="1">
        <v>4.19E-2</v>
      </c>
      <c r="I5009" s="1">
        <v>4.19E-2</v>
      </c>
      <c r="J5009" s="1">
        <v>5.3900000000000003E-2</v>
      </c>
    </row>
    <row r="5010" spans="1:10" x14ac:dyDescent="0.2">
      <c r="A5010" t="str">
        <f>"25/04/2004"</f>
        <v>25/04/2004</v>
      </c>
      <c r="B5010">
        <v>1</v>
      </c>
      <c r="C5010">
        <v>7500</v>
      </c>
      <c r="D5010">
        <v>119418</v>
      </c>
      <c r="E5010">
        <v>7500</v>
      </c>
      <c r="F5010">
        <v>7500</v>
      </c>
      <c r="G5010" s="1">
        <v>4.2000000000000003E-2</v>
      </c>
      <c r="H5010" s="1">
        <v>4.2000000000000003E-2</v>
      </c>
      <c r="I5010" s="1">
        <v>4.2000000000000003E-2</v>
      </c>
      <c r="J5010" s="1">
        <v>6.2700000000000006E-2</v>
      </c>
    </row>
    <row r="5011" spans="1:10" x14ac:dyDescent="0.2">
      <c r="A5011" t="str">
        <f>"22/04/2004"</f>
        <v>22/04/2004</v>
      </c>
      <c r="B5011">
        <v>3</v>
      </c>
      <c r="C5011">
        <v>7500</v>
      </c>
      <c r="D5011">
        <v>119521</v>
      </c>
      <c r="E5011">
        <v>7500</v>
      </c>
      <c r="F5011">
        <v>7500</v>
      </c>
      <c r="G5011" s="1">
        <v>4.2000000000000003E-2</v>
      </c>
      <c r="H5011" s="1">
        <v>4.19E-2</v>
      </c>
      <c r="I5011" s="1">
        <v>4.19E-2</v>
      </c>
      <c r="J5011" s="1">
        <v>5.8599999999999999E-2</v>
      </c>
    </row>
    <row r="5012" spans="1:10" x14ac:dyDescent="0.2">
      <c r="A5012" t="str">
        <f>"21/04/2004"</f>
        <v>21/04/2004</v>
      </c>
      <c r="B5012">
        <v>1</v>
      </c>
      <c r="C5012">
        <v>5000</v>
      </c>
      <c r="D5012">
        <v>88221</v>
      </c>
      <c r="E5012">
        <v>5000</v>
      </c>
      <c r="F5012">
        <v>5000</v>
      </c>
      <c r="G5012" s="1">
        <v>4.2000000000000003E-2</v>
      </c>
      <c r="H5012" s="1">
        <v>4.19E-2</v>
      </c>
      <c r="I5012" s="1">
        <v>4.19E-2</v>
      </c>
      <c r="J5012" s="1">
        <v>5.11E-2</v>
      </c>
    </row>
    <row r="5013" spans="1:10" x14ac:dyDescent="0.2">
      <c r="A5013" t="str">
        <f>"20/04/2004"</f>
        <v>20/04/2004</v>
      </c>
      <c r="B5013">
        <v>1</v>
      </c>
      <c r="C5013">
        <v>5000</v>
      </c>
      <c r="D5013">
        <v>91123</v>
      </c>
      <c r="E5013">
        <v>5000</v>
      </c>
      <c r="F5013">
        <v>5000</v>
      </c>
      <c r="G5013" s="1">
        <v>4.2000000000000003E-2</v>
      </c>
      <c r="H5013" s="1">
        <v>4.1799999999999997E-2</v>
      </c>
      <c r="I5013" s="1">
        <v>4.1799999999999997E-2</v>
      </c>
      <c r="J5013" s="1">
        <v>4.6800000000000001E-2</v>
      </c>
    </row>
    <row r="5014" spans="1:10" x14ac:dyDescent="0.2">
      <c r="A5014" t="str">
        <f>"19/04/2004"</f>
        <v>19/04/2004</v>
      </c>
      <c r="B5014">
        <v>1</v>
      </c>
      <c r="C5014">
        <v>6500</v>
      </c>
      <c r="D5014">
        <v>118472</v>
      </c>
      <c r="E5014">
        <v>6500</v>
      </c>
      <c r="F5014">
        <v>6500</v>
      </c>
      <c r="G5014" s="1">
        <v>4.2000000000000003E-2</v>
      </c>
      <c r="H5014" s="1">
        <v>4.19E-2</v>
      </c>
      <c r="I5014" s="1">
        <v>4.19E-2</v>
      </c>
      <c r="J5014" s="1">
        <v>5.0700000000000002E-2</v>
      </c>
    </row>
    <row r="5015" spans="1:10" x14ac:dyDescent="0.2">
      <c r="A5015" t="str">
        <f>"18/04/2004"</f>
        <v>18/04/2004</v>
      </c>
      <c r="B5015">
        <v>1</v>
      </c>
      <c r="C5015">
        <v>14500</v>
      </c>
      <c r="D5015">
        <v>161727</v>
      </c>
      <c r="E5015">
        <v>14500</v>
      </c>
      <c r="F5015">
        <v>14500</v>
      </c>
      <c r="G5015" s="1">
        <v>4.2000000000000003E-2</v>
      </c>
      <c r="H5015" s="1">
        <v>4.2000000000000003E-2</v>
      </c>
      <c r="I5015" s="1">
        <v>4.2000000000000003E-2</v>
      </c>
      <c r="J5015" s="1">
        <v>8.9499999999999996E-2</v>
      </c>
    </row>
    <row r="5016" spans="1:10" x14ac:dyDescent="0.2">
      <c r="A5016" t="str">
        <f>"15/04/2004"</f>
        <v>15/04/2004</v>
      </c>
      <c r="B5016">
        <v>3</v>
      </c>
      <c r="C5016">
        <v>16500</v>
      </c>
      <c r="D5016">
        <v>168121</v>
      </c>
      <c r="E5016">
        <v>16500</v>
      </c>
      <c r="F5016">
        <v>16500</v>
      </c>
      <c r="G5016" s="1">
        <v>4.2000000000000003E-2</v>
      </c>
      <c r="H5016" s="1">
        <v>4.2000000000000003E-2</v>
      </c>
      <c r="I5016" s="1">
        <v>4.2000000000000003E-2</v>
      </c>
      <c r="J5016" s="1">
        <v>9.4E-2</v>
      </c>
    </row>
    <row r="5017" spans="1:10" x14ac:dyDescent="0.2">
      <c r="A5017" t="str">
        <f>"14/04/2004"</f>
        <v>14/04/2004</v>
      </c>
      <c r="B5017">
        <v>1</v>
      </c>
      <c r="C5017">
        <v>13000</v>
      </c>
      <c r="D5017">
        <v>178816</v>
      </c>
      <c r="E5017">
        <v>13000</v>
      </c>
      <c r="F5017">
        <v>13000</v>
      </c>
      <c r="G5017" s="1">
        <v>4.2000000000000003E-2</v>
      </c>
      <c r="H5017" s="1">
        <v>4.19E-2</v>
      </c>
      <c r="I5017" s="1">
        <v>4.19E-2</v>
      </c>
      <c r="J5017" s="1">
        <v>6.8699999999999997E-2</v>
      </c>
    </row>
    <row r="5018" spans="1:10" x14ac:dyDescent="0.2">
      <c r="A5018" t="str">
        <f>"13/04/2004"</f>
        <v>13/04/2004</v>
      </c>
      <c r="B5018">
        <v>1</v>
      </c>
      <c r="C5018">
        <v>16500</v>
      </c>
      <c r="D5018">
        <v>244017</v>
      </c>
      <c r="E5018">
        <v>16500</v>
      </c>
      <c r="F5018">
        <v>16500</v>
      </c>
      <c r="G5018" s="1">
        <v>4.2000000000000003E-2</v>
      </c>
      <c r="H5018" s="1">
        <v>4.2000000000000003E-2</v>
      </c>
      <c r="I5018" s="1">
        <v>4.2000000000000003E-2</v>
      </c>
      <c r="J5018" s="1">
        <v>6.4699999999999994E-2</v>
      </c>
    </row>
    <row r="5019" spans="1:10" x14ac:dyDescent="0.2">
      <c r="A5019" t="str">
        <f>"08/04/2004"</f>
        <v>08/04/2004</v>
      </c>
      <c r="B5019">
        <v>5</v>
      </c>
      <c r="C5019">
        <v>15000</v>
      </c>
      <c r="D5019">
        <v>212219</v>
      </c>
      <c r="E5019">
        <v>15000</v>
      </c>
      <c r="F5019">
        <v>15000</v>
      </c>
      <c r="G5019" s="1">
        <v>4.2000000000000003E-2</v>
      </c>
      <c r="H5019" s="1">
        <v>4.19E-2</v>
      </c>
      <c r="I5019" s="1">
        <v>4.19E-2</v>
      </c>
      <c r="J5019" s="1">
        <v>6.6199999999999995E-2</v>
      </c>
    </row>
    <row r="5020" spans="1:10" x14ac:dyDescent="0.2">
      <c r="A5020" t="str">
        <f>"07/04/2004"</f>
        <v>07/04/2004</v>
      </c>
      <c r="B5020">
        <v>1</v>
      </c>
      <c r="C5020">
        <v>14000</v>
      </c>
      <c r="D5020">
        <v>206020</v>
      </c>
      <c r="E5020">
        <v>14000</v>
      </c>
      <c r="F5020">
        <v>14000</v>
      </c>
      <c r="G5020" s="1">
        <v>4.2000000000000003E-2</v>
      </c>
      <c r="H5020" s="1">
        <v>4.19E-2</v>
      </c>
      <c r="I5020" s="1">
        <v>4.19E-2</v>
      </c>
      <c r="J5020" s="1">
        <v>6.4500000000000002E-2</v>
      </c>
    </row>
    <row r="5021" spans="1:10" x14ac:dyDescent="0.2">
      <c r="A5021" t="str">
        <f>"04/04/2004"</f>
        <v>04/04/2004</v>
      </c>
      <c r="B5021">
        <v>3</v>
      </c>
      <c r="C5021">
        <v>8000</v>
      </c>
      <c r="D5021">
        <v>140920</v>
      </c>
      <c r="E5021">
        <v>8000</v>
      </c>
      <c r="F5021">
        <v>8000</v>
      </c>
      <c r="G5021" s="1">
        <v>4.2000000000000003E-2</v>
      </c>
      <c r="H5021" s="1">
        <v>4.19E-2</v>
      </c>
      <c r="I5021" s="1">
        <v>4.19E-2</v>
      </c>
      <c r="J5021" s="1">
        <v>5.33E-2</v>
      </c>
    </row>
    <row r="5022" spans="1:10" x14ac:dyDescent="0.2">
      <c r="A5022" t="str">
        <f>"01/04/2004"</f>
        <v>01/04/2004</v>
      </c>
      <c r="B5022">
        <v>3</v>
      </c>
      <c r="C5022">
        <v>8000</v>
      </c>
      <c r="D5022">
        <v>129818</v>
      </c>
      <c r="E5022">
        <v>8000</v>
      </c>
      <c r="F5022">
        <v>8000</v>
      </c>
      <c r="G5022" s="1">
        <v>4.2000000000000003E-2</v>
      </c>
      <c r="H5022" s="1">
        <v>4.2000000000000003E-2</v>
      </c>
      <c r="I5022" s="1">
        <v>4.2000000000000003E-2</v>
      </c>
      <c r="J5022" s="1">
        <v>6.1499999999999999E-2</v>
      </c>
    </row>
    <row r="5023" spans="1:10" x14ac:dyDescent="0.2">
      <c r="A5023" t="str">
        <f>"31/03/2004"</f>
        <v>31/03/2004</v>
      </c>
      <c r="B5023">
        <v>1</v>
      </c>
      <c r="C5023">
        <v>9200</v>
      </c>
      <c r="D5023">
        <v>6496</v>
      </c>
      <c r="E5023">
        <v>6496</v>
      </c>
      <c r="F5023">
        <v>6496</v>
      </c>
      <c r="G5023" s="1">
        <v>4.3999999999999997E-2</v>
      </c>
      <c r="H5023" s="1">
        <v>4.3999999999999997E-2</v>
      </c>
      <c r="I5023" s="1">
        <v>4.3999999999999997E-2</v>
      </c>
      <c r="J5023" s="1">
        <v>1</v>
      </c>
    </row>
    <row r="5024" spans="1:10" x14ac:dyDescent="0.2">
      <c r="A5024" t="str">
        <f>"30/03/2004"</f>
        <v>30/03/2004</v>
      </c>
      <c r="B5024">
        <v>1</v>
      </c>
      <c r="C5024">
        <v>8000</v>
      </c>
      <c r="D5024">
        <v>97012</v>
      </c>
      <c r="E5024">
        <v>8000</v>
      </c>
      <c r="F5024">
        <v>8000</v>
      </c>
      <c r="G5024" s="1">
        <v>4.3999999999999997E-2</v>
      </c>
      <c r="H5024" s="1">
        <v>4.3799999999999999E-2</v>
      </c>
      <c r="I5024" s="1">
        <v>4.3799999999999999E-2</v>
      </c>
      <c r="J5024" s="1">
        <v>6.7900000000000002E-2</v>
      </c>
    </row>
    <row r="5025" spans="1:10" x14ac:dyDescent="0.2">
      <c r="A5025" t="str">
        <f>"29/03/2004"</f>
        <v>29/03/2004</v>
      </c>
      <c r="B5025">
        <v>1</v>
      </c>
      <c r="C5025">
        <v>8000</v>
      </c>
      <c r="D5025">
        <v>109112</v>
      </c>
      <c r="E5025">
        <v>8000</v>
      </c>
      <c r="F5025">
        <v>8000</v>
      </c>
      <c r="G5025" s="1">
        <v>4.3999999999999997E-2</v>
      </c>
      <c r="H5025" s="1">
        <v>4.3999999999999997E-2</v>
      </c>
      <c r="I5025" s="1">
        <v>4.3999999999999997E-2</v>
      </c>
      <c r="J5025" s="1">
        <v>7.3200000000000001E-2</v>
      </c>
    </row>
    <row r="5026" spans="1:10" x14ac:dyDescent="0.2">
      <c r="A5026" t="str">
        <f>"28/03/2004"</f>
        <v>28/03/2004</v>
      </c>
      <c r="B5026">
        <v>1</v>
      </c>
      <c r="C5026">
        <v>9000</v>
      </c>
      <c r="D5026">
        <v>138924</v>
      </c>
      <c r="E5026">
        <v>9000</v>
      </c>
      <c r="F5026">
        <v>9000</v>
      </c>
      <c r="G5026" s="1">
        <v>4.3999999999999997E-2</v>
      </c>
      <c r="H5026" s="1">
        <v>4.3999999999999997E-2</v>
      </c>
      <c r="I5026" s="1">
        <v>4.3999999999999997E-2</v>
      </c>
      <c r="J5026" s="1">
        <v>6.4600000000000005E-2</v>
      </c>
    </row>
    <row r="5027" spans="1:10" x14ac:dyDescent="0.2">
      <c r="A5027" t="str">
        <f>"25/03/2004"</f>
        <v>25/03/2004</v>
      </c>
      <c r="B5027">
        <v>3</v>
      </c>
      <c r="C5027">
        <v>7000</v>
      </c>
      <c r="D5027">
        <v>110322</v>
      </c>
      <c r="E5027">
        <v>7000</v>
      </c>
      <c r="F5027">
        <v>7000</v>
      </c>
      <c r="G5027" s="1">
        <v>4.3999999999999997E-2</v>
      </c>
      <c r="H5027" s="1">
        <v>4.3999999999999997E-2</v>
      </c>
      <c r="I5027" s="1">
        <v>4.3999999999999997E-2</v>
      </c>
      <c r="J5027" s="1">
        <v>6.3299999999999995E-2</v>
      </c>
    </row>
    <row r="5028" spans="1:10" x14ac:dyDescent="0.2">
      <c r="A5028" t="str">
        <f>"24/03/2004"</f>
        <v>24/03/2004</v>
      </c>
      <c r="B5028">
        <v>1</v>
      </c>
      <c r="C5028">
        <v>7000</v>
      </c>
      <c r="D5028">
        <v>127774</v>
      </c>
      <c r="E5028">
        <v>7000</v>
      </c>
      <c r="F5028">
        <v>7000</v>
      </c>
      <c r="G5028" s="1">
        <v>4.3999999999999997E-2</v>
      </c>
      <c r="H5028" s="1">
        <v>4.3799999999999999E-2</v>
      </c>
      <c r="I5028" s="1">
        <v>4.3799999999999999E-2</v>
      </c>
      <c r="J5028" s="1">
        <v>4.3400000000000001E-2</v>
      </c>
    </row>
    <row r="5029" spans="1:10" x14ac:dyDescent="0.2">
      <c r="A5029" t="str">
        <f>"23/03/2004"</f>
        <v>23/03/2004</v>
      </c>
      <c r="B5029">
        <v>1</v>
      </c>
      <c r="C5029">
        <v>7000</v>
      </c>
      <c r="D5029">
        <v>125184</v>
      </c>
      <c r="E5029">
        <v>7000</v>
      </c>
      <c r="F5029">
        <v>7000</v>
      </c>
      <c r="G5029" s="1">
        <v>4.3999999999999997E-2</v>
      </c>
      <c r="H5029" s="1">
        <v>4.3999999999999997E-2</v>
      </c>
      <c r="I5029" s="1">
        <v>4.3999999999999997E-2</v>
      </c>
      <c r="J5029" s="1">
        <v>5.57E-2</v>
      </c>
    </row>
    <row r="5030" spans="1:10" x14ac:dyDescent="0.2">
      <c r="A5030" t="str">
        <f>"22/03/2004"</f>
        <v>22/03/2004</v>
      </c>
      <c r="B5030">
        <v>1</v>
      </c>
      <c r="C5030">
        <v>8000</v>
      </c>
      <c r="D5030">
        <v>150324</v>
      </c>
      <c r="E5030">
        <v>8000</v>
      </c>
      <c r="F5030">
        <v>8000</v>
      </c>
      <c r="G5030" s="1">
        <v>4.3999999999999997E-2</v>
      </c>
      <c r="H5030" s="1">
        <v>4.3999999999999997E-2</v>
      </c>
      <c r="I5030" s="1">
        <v>4.3999999999999997E-2</v>
      </c>
      <c r="J5030" s="1">
        <v>5.3100000000000001E-2</v>
      </c>
    </row>
    <row r="5031" spans="1:10" x14ac:dyDescent="0.2">
      <c r="A5031" t="str">
        <f>"21/03/2004"</f>
        <v>21/03/2004</v>
      </c>
      <c r="B5031">
        <v>1</v>
      </c>
      <c r="C5031">
        <v>9000</v>
      </c>
      <c r="D5031">
        <v>157829</v>
      </c>
      <c r="E5031">
        <v>9000</v>
      </c>
      <c r="F5031">
        <v>9000</v>
      </c>
      <c r="G5031" s="1">
        <v>4.3999999999999997E-2</v>
      </c>
      <c r="H5031" s="1">
        <v>4.3999999999999997E-2</v>
      </c>
      <c r="I5031" s="1">
        <v>4.3999999999999997E-2</v>
      </c>
      <c r="J5031" s="1">
        <v>5.6899999999999999E-2</v>
      </c>
    </row>
    <row r="5032" spans="1:10" x14ac:dyDescent="0.2">
      <c r="A5032" t="str">
        <f>"18/03/2004"</f>
        <v>18/03/2004</v>
      </c>
      <c r="B5032">
        <v>3</v>
      </c>
      <c r="C5032">
        <v>9500</v>
      </c>
      <c r="D5032">
        <v>156828</v>
      </c>
      <c r="E5032">
        <v>9500</v>
      </c>
      <c r="F5032">
        <v>9500</v>
      </c>
      <c r="G5032" s="1">
        <v>4.3999999999999997E-2</v>
      </c>
      <c r="H5032" s="1">
        <v>4.3900000000000002E-2</v>
      </c>
      <c r="I5032" s="1">
        <v>4.3900000000000002E-2</v>
      </c>
      <c r="J5032" s="1">
        <v>5.5899999999999998E-2</v>
      </c>
    </row>
    <row r="5033" spans="1:10" x14ac:dyDescent="0.2">
      <c r="A5033" t="str">
        <f>"17/03/2004"</f>
        <v>17/03/2004</v>
      </c>
      <c r="B5033">
        <v>1</v>
      </c>
      <c r="C5033">
        <v>5500</v>
      </c>
      <c r="D5033">
        <v>94926</v>
      </c>
      <c r="E5033">
        <v>5500</v>
      </c>
      <c r="F5033">
        <v>5500</v>
      </c>
      <c r="G5033" s="1">
        <v>4.3999999999999997E-2</v>
      </c>
      <c r="H5033" s="1">
        <v>4.3900000000000002E-2</v>
      </c>
      <c r="I5033" s="1">
        <v>4.3900000000000002E-2</v>
      </c>
      <c r="J5033" s="1">
        <v>5.4699999999999999E-2</v>
      </c>
    </row>
    <row r="5034" spans="1:10" x14ac:dyDescent="0.2">
      <c r="A5034" t="str">
        <f>"16/03/2004"</f>
        <v>16/03/2004</v>
      </c>
      <c r="B5034">
        <v>1</v>
      </c>
      <c r="C5034">
        <v>8500</v>
      </c>
      <c r="D5034">
        <v>145223</v>
      </c>
      <c r="E5034">
        <v>8500</v>
      </c>
      <c r="F5034">
        <v>8500</v>
      </c>
      <c r="G5034" s="1">
        <v>4.3999999999999997E-2</v>
      </c>
      <c r="H5034" s="1">
        <v>4.3999999999999997E-2</v>
      </c>
      <c r="I5034" s="1">
        <v>4.3999999999999997E-2</v>
      </c>
      <c r="J5034" s="1">
        <v>5.8400000000000001E-2</v>
      </c>
    </row>
    <row r="5035" spans="1:10" x14ac:dyDescent="0.2">
      <c r="A5035" t="str">
        <f>"15/03/2004"</f>
        <v>15/03/2004</v>
      </c>
      <c r="B5035">
        <v>1</v>
      </c>
      <c r="C5035">
        <v>15000</v>
      </c>
      <c r="D5035">
        <v>238176</v>
      </c>
      <c r="E5035">
        <v>15000</v>
      </c>
      <c r="F5035">
        <v>15000</v>
      </c>
      <c r="G5035" s="1">
        <v>4.3999999999999997E-2</v>
      </c>
      <c r="H5035" s="1">
        <v>4.3999999999999997E-2</v>
      </c>
      <c r="I5035" s="1">
        <v>4.3999999999999997E-2</v>
      </c>
      <c r="J5035" s="1">
        <v>6.2899999999999998E-2</v>
      </c>
    </row>
    <row r="5036" spans="1:10" x14ac:dyDescent="0.2">
      <c r="A5036" t="str">
        <f>"14/03/2004"</f>
        <v>14/03/2004</v>
      </c>
      <c r="B5036">
        <v>1</v>
      </c>
      <c r="C5036">
        <v>16500</v>
      </c>
      <c r="D5036">
        <v>260331</v>
      </c>
      <c r="E5036">
        <v>16500</v>
      </c>
      <c r="F5036">
        <v>16500</v>
      </c>
      <c r="G5036" s="1">
        <v>4.3999999999999997E-2</v>
      </c>
      <c r="H5036" s="1">
        <v>4.3999999999999997E-2</v>
      </c>
      <c r="I5036" s="1">
        <v>4.3999999999999997E-2</v>
      </c>
      <c r="J5036" s="1">
        <v>6.3299999999999995E-2</v>
      </c>
    </row>
    <row r="5037" spans="1:10" x14ac:dyDescent="0.2">
      <c r="A5037" t="str">
        <f>"11/03/2004"</f>
        <v>11/03/2004</v>
      </c>
      <c r="B5037">
        <v>3</v>
      </c>
      <c r="C5037">
        <v>17500</v>
      </c>
      <c r="D5037">
        <v>281130</v>
      </c>
      <c r="E5037">
        <v>17500</v>
      </c>
      <c r="F5037">
        <v>17500</v>
      </c>
      <c r="G5037" s="1">
        <v>4.3999999999999997E-2</v>
      </c>
      <c r="H5037" s="1">
        <v>4.3999999999999997E-2</v>
      </c>
      <c r="I5037" s="1">
        <v>4.3999999999999997E-2</v>
      </c>
      <c r="J5037" s="1">
        <v>6.2100000000000002E-2</v>
      </c>
    </row>
    <row r="5038" spans="1:10" x14ac:dyDescent="0.2">
      <c r="A5038" t="str">
        <f>"10/03/2004"</f>
        <v>10/03/2004</v>
      </c>
      <c r="B5038">
        <v>1</v>
      </c>
      <c r="C5038">
        <v>13000</v>
      </c>
      <c r="D5038">
        <v>209529</v>
      </c>
      <c r="E5038">
        <v>13000</v>
      </c>
      <c r="F5038">
        <v>13000</v>
      </c>
      <c r="G5038" s="1">
        <v>4.3999999999999997E-2</v>
      </c>
      <c r="H5038" s="1">
        <v>4.3999999999999997E-2</v>
      </c>
      <c r="I5038" s="1">
        <v>4.3999999999999997E-2</v>
      </c>
      <c r="J5038" s="1">
        <v>6.1899999999999997E-2</v>
      </c>
    </row>
    <row r="5039" spans="1:10" x14ac:dyDescent="0.2">
      <c r="A5039" t="str">
        <f>"09/03/2004"</f>
        <v>09/03/2004</v>
      </c>
      <c r="B5039">
        <v>1</v>
      </c>
      <c r="C5039">
        <v>13000</v>
      </c>
      <c r="D5039">
        <v>206228</v>
      </c>
      <c r="E5039">
        <v>13000</v>
      </c>
      <c r="F5039">
        <v>13000</v>
      </c>
      <c r="G5039" s="1">
        <v>4.3999999999999997E-2</v>
      </c>
      <c r="H5039" s="1">
        <v>4.3999999999999997E-2</v>
      </c>
      <c r="I5039" s="1">
        <v>4.3999999999999997E-2</v>
      </c>
      <c r="J5039" s="1">
        <v>6.2899999999999998E-2</v>
      </c>
    </row>
    <row r="5040" spans="1:10" x14ac:dyDescent="0.2">
      <c r="A5040" t="str">
        <f>"04/03/2004"</f>
        <v>04/03/2004</v>
      </c>
      <c r="B5040">
        <v>5</v>
      </c>
      <c r="C5040">
        <v>11500</v>
      </c>
      <c r="D5040">
        <v>191430</v>
      </c>
      <c r="E5040">
        <v>11500</v>
      </c>
      <c r="F5040">
        <v>11500</v>
      </c>
      <c r="G5040" s="1">
        <v>4.3999999999999997E-2</v>
      </c>
      <c r="H5040" s="1">
        <v>4.3900000000000002E-2</v>
      </c>
      <c r="I5040" s="1">
        <v>4.3900000000000002E-2</v>
      </c>
      <c r="J5040" s="1">
        <v>5.5E-2</v>
      </c>
    </row>
    <row r="5041" spans="1:10" x14ac:dyDescent="0.2">
      <c r="A5041" t="str">
        <f>"03/03/2004"</f>
        <v>03/03/2004</v>
      </c>
      <c r="B5041">
        <v>1</v>
      </c>
      <c r="C5041">
        <v>14500</v>
      </c>
      <c r="D5041">
        <v>225531</v>
      </c>
      <c r="E5041">
        <v>14500</v>
      </c>
      <c r="F5041">
        <v>14500</v>
      </c>
      <c r="G5041" s="1">
        <v>4.3999999999999997E-2</v>
      </c>
      <c r="H5041" s="1">
        <v>4.3999999999999997E-2</v>
      </c>
      <c r="I5041" s="1">
        <v>4.3999999999999997E-2</v>
      </c>
      <c r="J5041" s="1">
        <v>6.4199999999999993E-2</v>
      </c>
    </row>
    <row r="5042" spans="1:10" x14ac:dyDescent="0.2">
      <c r="A5042" t="str">
        <f>"02/03/2004"</f>
        <v>02/03/2004</v>
      </c>
      <c r="B5042">
        <v>1</v>
      </c>
      <c r="C5042">
        <v>13000</v>
      </c>
      <c r="D5042">
        <v>204128</v>
      </c>
      <c r="E5042">
        <v>13000</v>
      </c>
      <c r="F5042">
        <v>13000</v>
      </c>
      <c r="G5042" s="1">
        <v>4.3999999999999997E-2</v>
      </c>
      <c r="H5042" s="1">
        <v>4.3900000000000002E-2</v>
      </c>
      <c r="I5042" s="1">
        <v>4.3900000000000002E-2</v>
      </c>
      <c r="J5042" s="1">
        <v>5.8900000000000001E-2</v>
      </c>
    </row>
    <row r="5043" spans="1:10" x14ac:dyDescent="0.2">
      <c r="A5043" t="str">
        <f>"01/03/2004"</f>
        <v>01/03/2004</v>
      </c>
      <c r="B5043">
        <v>1</v>
      </c>
      <c r="C5043">
        <v>13000</v>
      </c>
      <c r="D5043">
        <v>216531</v>
      </c>
      <c r="E5043">
        <v>13000</v>
      </c>
      <c r="F5043">
        <v>13000</v>
      </c>
      <c r="G5043" s="1">
        <v>4.3999999999999997E-2</v>
      </c>
      <c r="H5043" s="1">
        <v>4.3900000000000002E-2</v>
      </c>
      <c r="I5043" s="1">
        <v>4.3900000000000002E-2</v>
      </c>
      <c r="J5043" s="1">
        <v>5.33E-2</v>
      </c>
    </row>
    <row r="5044" spans="1:10" x14ac:dyDescent="0.2">
      <c r="A5044" t="str">
        <f>"29/02/2004"</f>
        <v>29/02/2004</v>
      </c>
      <c r="B5044">
        <v>1</v>
      </c>
      <c r="C5044">
        <v>11000</v>
      </c>
      <c r="D5044">
        <v>13686</v>
      </c>
      <c r="E5044">
        <v>11000</v>
      </c>
      <c r="F5044">
        <v>11000</v>
      </c>
      <c r="G5044" s="1">
        <v>4.3999999999999997E-2</v>
      </c>
      <c r="H5044" s="1">
        <v>4.3999999999999997E-2</v>
      </c>
      <c r="I5044" s="1">
        <v>4.3999999999999997E-2</v>
      </c>
      <c r="J5044" s="1">
        <v>0.8034</v>
      </c>
    </row>
    <row r="5045" spans="1:10" x14ac:dyDescent="0.2">
      <c r="A5045" t="str">
        <f>"26/02/2004"</f>
        <v>26/02/2004</v>
      </c>
      <c r="B5045">
        <v>3</v>
      </c>
      <c r="C5045">
        <v>7500</v>
      </c>
      <c r="D5045">
        <v>110327</v>
      </c>
      <c r="E5045">
        <v>7500</v>
      </c>
      <c r="F5045">
        <v>7500</v>
      </c>
      <c r="G5045" s="1">
        <v>4.3999999999999997E-2</v>
      </c>
      <c r="H5045" s="1">
        <v>4.3900000000000002E-2</v>
      </c>
      <c r="I5045" s="1">
        <v>4.3900000000000002E-2</v>
      </c>
      <c r="J5045" s="1">
        <v>5.9200000000000003E-2</v>
      </c>
    </row>
    <row r="5046" spans="1:10" x14ac:dyDescent="0.2">
      <c r="A5046" t="str">
        <f>"25/02/2004"</f>
        <v>25/02/2004</v>
      </c>
      <c r="B5046">
        <v>1</v>
      </c>
      <c r="C5046">
        <v>6800</v>
      </c>
      <c r="D5046">
        <v>6352</v>
      </c>
      <c r="E5046">
        <v>6352</v>
      </c>
      <c r="F5046">
        <v>6352</v>
      </c>
      <c r="G5046" s="1">
        <v>4.5999999999999999E-2</v>
      </c>
      <c r="H5046" s="1">
        <v>4.5999999999999999E-2</v>
      </c>
      <c r="I5046" s="1">
        <v>4.5999999999999999E-2</v>
      </c>
      <c r="J5046" s="1">
        <v>1</v>
      </c>
    </row>
    <row r="5047" spans="1:10" x14ac:dyDescent="0.2">
      <c r="A5047" t="str">
        <f>"24/02/2004"</f>
        <v>24/02/2004</v>
      </c>
      <c r="B5047">
        <v>1</v>
      </c>
      <c r="C5047">
        <v>7500</v>
      </c>
      <c r="D5047">
        <v>108954</v>
      </c>
      <c r="E5047">
        <v>7500</v>
      </c>
      <c r="F5047">
        <v>7500</v>
      </c>
      <c r="G5047" s="1">
        <v>4.5999999999999999E-2</v>
      </c>
      <c r="H5047" s="1">
        <v>4.5900000000000003E-2</v>
      </c>
      <c r="I5047" s="1">
        <v>4.5900000000000003E-2</v>
      </c>
      <c r="J5047" s="1">
        <v>6.1899999999999997E-2</v>
      </c>
    </row>
    <row r="5048" spans="1:10" x14ac:dyDescent="0.2">
      <c r="A5048" t="str">
        <f>"23/02/2004"</f>
        <v>23/02/2004</v>
      </c>
      <c r="B5048">
        <v>1</v>
      </c>
      <c r="C5048">
        <v>7500</v>
      </c>
      <c r="D5048">
        <v>126954</v>
      </c>
      <c r="E5048">
        <v>7500</v>
      </c>
      <c r="F5048">
        <v>7500</v>
      </c>
      <c r="G5048" s="1">
        <v>4.5999999999999999E-2</v>
      </c>
      <c r="H5048" s="1">
        <v>4.58E-2</v>
      </c>
      <c r="I5048" s="1">
        <v>4.58E-2</v>
      </c>
      <c r="J5048" s="1">
        <v>4.7399999999999998E-2</v>
      </c>
    </row>
    <row r="5049" spans="1:10" x14ac:dyDescent="0.2">
      <c r="A5049" t="str">
        <f>"22/02/2004"</f>
        <v>22/02/2004</v>
      </c>
      <c r="B5049">
        <v>1</v>
      </c>
      <c r="C5049">
        <v>9000</v>
      </c>
      <c r="D5049">
        <v>143675</v>
      </c>
      <c r="E5049">
        <v>9000</v>
      </c>
      <c r="F5049">
        <v>9000</v>
      </c>
      <c r="G5049" s="1">
        <v>4.5999999999999999E-2</v>
      </c>
      <c r="H5049" s="1">
        <v>4.58E-2</v>
      </c>
      <c r="I5049" s="1">
        <v>4.58E-2</v>
      </c>
      <c r="J5049" s="1">
        <v>5.2299999999999999E-2</v>
      </c>
    </row>
    <row r="5050" spans="1:10" x14ac:dyDescent="0.2">
      <c r="A5050" t="str">
        <f>"19/02/2004"</f>
        <v>19/02/2004</v>
      </c>
      <c r="B5050">
        <v>3</v>
      </c>
      <c r="C5050">
        <v>9000</v>
      </c>
      <c r="D5050">
        <v>163671</v>
      </c>
      <c r="E5050">
        <v>9000</v>
      </c>
      <c r="F5050">
        <v>9000</v>
      </c>
      <c r="G5050" s="1">
        <v>4.5999999999999999E-2</v>
      </c>
      <c r="H5050" s="1">
        <v>4.5900000000000003E-2</v>
      </c>
      <c r="I5050" s="1">
        <v>4.5900000000000003E-2</v>
      </c>
      <c r="J5050" s="1">
        <v>4.7300000000000002E-2</v>
      </c>
    </row>
    <row r="5051" spans="1:10" x14ac:dyDescent="0.2">
      <c r="A5051" t="str">
        <f>"18/02/2004"</f>
        <v>18/02/2004</v>
      </c>
      <c r="B5051">
        <v>1</v>
      </c>
      <c r="C5051">
        <v>5500</v>
      </c>
      <c r="D5051">
        <v>97063</v>
      </c>
      <c r="E5051">
        <v>5500</v>
      </c>
      <c r="F5051">
        <v>5500</v>
      </c>
      <c r="G5051" s="1">
        <v>4.5999999999999999E-2</v>
      </c>
      <c r="H5051" s="1">
        <v>4.5900000000000003E-2</v>
      </c>
      <c r="I5051" s="1">
        <v>4.5900000000000003E-2</v>
      </c>
      <c r="J5051" s="1">
        <v>4.87E-2</v>
      </c>
    </row>
    <row r="5052" spans="1:10" x14ac:dyDescent="0.2">
      <c r="A5052" t="str">
        <f>"17/02/2004"</f>
        <v>17/02/2004</v>
      </c>
      <c r="B5052">
        <v>1</v>
      </c>
      <c r="C5052">
        <v>7500</v>
      </c>
      <c r="D5052">
        <v>139164</v>
      </c>
      <c r="E5052">
        <v>7500</v>
      </c>
      <c r="F5052">
        <v>7500</v>
      </c>
      <c r="G5052" s="1">
        <v>4.5999999999999999E-2</v>
      </c>
      <c r="H5052" s="1">
        <v>4.5900000000000003E-2</v>
      </c>
      <c r="I5052" s="1">
        <v>4.5900000000000003E-2</v>
      </c>
      <c r="J5052" s="1">
        <v>4.6600000000000003E-2</v>
      </c>
    </row>
    <row r="5053" spans="1:10" x14ac:dyDescent="0.2">
      <c r="A5053" t="str">
        <f>"16/02/2004"</f>
        <v>16/02/2004</v>
      </c>
      <c r="B5053">
        <v>1</v>
      </c>
      <c r="C5053">
        <v>8500</v>
      </c>
      <c r="D5053">
        <v>160095</v>
      </c>
      <c r="E5053">
        <v>8500</v>
      </c>
      <c r="F5053">
        <v>8500</v>
      </c>
      <c r="G5053" s="1">
        <v>4.5999999999999999E-2</v>
      </c>
      <c r="H5053" s="1">
        <v>4.5900000000000003E-2</v>
      </c>
      <c r="I5053" s="1">
        <v>4.5900000000000003E-2</v>
      </c>
      <c r="J5053" s="1">
        <v>4.6600000000000003E-2</v>
      </c>
    </row>
    <row r="5054" spans="1:10" x14ac:dyDescent="0.2">
      <c r="A5054" t="str">
        <f>"15/02/2004"</f>
        <v>15/02/2004</v>
      </c>
      <c r="B5054">
        <v>1</v>
      </c>
      <c r="C5054">
        <v>16000</v>
      </c>
      <c r="D5054">
        <v>270405</v>
      </c>
      <c r="E5054">
        <v>16000</v>
      </c>
      <c r="F5054">
        <v>16000</v>
      </c>
      <c r="G5054" s="1">
        <v>4.5999999999999999E-2</v>
      </c>
      <c r="H5054" s="1">
        <v>4.5900000000000003E-2</v>
      </c>
      <c r="I5054" s="1">
        <v>4.5900000000000003E-2</v>
      </c>
      <c r="J5054" s="1">
        <v>5.4399999999999997E-2</v>
      </c>
    </row>
    <row r="5055" spans="1:10" x14ac:dyDescent="0.2">
      <c r="A5055" t="str">
        <f>"12/02/2004"</f>
        <v>12/02/2004</v>
      </c>
      <c r="B5055">
        <v>3</v>
      </c>
      <c r="C5055">
        <v>16000</v>
      </c>
      <c r="D5055">
        <v>273546</v>
      </c>
      <c r="E5055">
        <v>16000</v>
      </c>
      <c r="F5055">
        <v>16000</v>
      </c>
      <c r="G5055" s="1">
        <v>4.5999999999999999E-2</v>
      </c>
      <c r="H5055" s="1">
        <v>4.5900000000000003E-2</v>
      </c>
      <c r="I5055" s="1">
        <v>4.5900000000000003E-2</v>
      </c>
      <c r="J5055" s="1">
        <v>5.5399999999999998E-2</v>
      </c>
    </row>
    <row r="5056" spans="1:10" x14ac:dyDescent="0.2">
      <c r="A5056" t="str">
        <f>"11/02/2004"</f>
        <v>11/02/2004</v>
      </c>
      <c r="B5056">
        <v>1</v>
      </c>
      <c r="C5056">
        <v>11000</v>
      </c>
      <c r="D5056">
        <v>192595</v>
      </c>
      <c r="E5056">
        <v>11000</v>
      </c>
      <c r="F5056">
        <v>11000</v>
      </c>
      <c r="G5056" s="1">
        <v>4.5999999999999999E-2</v>
      </c>
      <c r="H5056" s="1">
        <v>4.5999999999999999E-2</v>
      </c>
      <c r="I5056" s="1">
        <v>4.5999999999999999E-2</v>
      </c>
      <c r="J5056" s="1">
        <v>5.6599999999999998E-2</v>
      </c>
    </row>
    <row r="5057" spans="1:10" x14ac:dyDescent="0.2">
      <c r="A5057" t="str">
        <f>"10/02/2004"</f>
        <v>10/02/2004</v>
      </c>
      <c r="B5057">
        <v>1</v>
      </c>
      <c r="C5057">
        <v>11000</v>
      </c>
      <c r="D5057">
        <v>212595</v>
      </c>
      <c r="E5057">
        <v>11000</v>
      </c>
      <c r="F5057">
        <v>11000</v>
      </c>
      <c r="G5057" s="1">
        <v>4.5999999999999999E-2</v>
      </c>
      <c r="H5057" s="1">
        <v>4.5900000000000003E-2</v>
      </c>
      <c r="I5057" s="1">
        <v>4.5900000000000003E-2</v>
      </c>
      <c r="J5057" s="1">
        <v>4.8000000000000001E-2</v>
      </c>
    </row>
    <row r="5058" spans="1:10" x14ac:dyDescent="0.2">
      <c r="A5058" t="str">
        <f>"09/02/2004"</f>
        <v>09/02/2004</v>
      </c>
      <c r="B5058">
        <v>1</v>
      </c>
      <c r="C5058">
        <v>11000</v>
      </c>
      <c r="D5058">
        <v>203395</v>
      </c>
      <c r="E5058">
        <v>11000</v>
      </c>
      <c r="F5058">
        <v>11000</v>
      </c>
      <c r="G5058" s="1">
        <v>4.5999999999999999E-2</v>
      </c>
      <c r="H5058" s="1">
        <v>4.5900000000000003E-2</v>
      </c>
      <c r="I5058" s="1">
        <v>4.5900000000000003E-2</v>
      </c>
      <c r="J5058" s="1">
        <v>5.0099999999999999E-2</v>
      </c>
    </row>
    <row r="5059" spans="1:10" x14ac:dyDescent="0.2">
      <c r="A5059" t="str">
        <f>"08/02/2004"</f>
        <v>08/02/2004</v>
      </c>
      <c r="B5059">
        <v>1</v>
      </c>
      <c r="C5059">
        <v>11000</v>
      </c>
      <c r="D5059">
        <v>192192</v>
      </c>
      <c r="E5059">
        <v>11000</v>
      </c>
      <c r="F5059">
        <v>11000</v>
      </c>
      <c r="G5059" s="1">
        <v>4.5999999999999999E-2</v>
      </c>
      <c r="H5059" s="1">
        <v>4.5900000000000003E-2</v>
      </c>
      <c r="I5059" s="1">
        <v>4.5900000000000003E-2</v>
      </c>
      <c r="J5059" s="1">
        <v>5.4300000000000001E-2</v>
      </c>
    </row>
    <row r="5060" spans="1:10" x14ac:dyDescent="0.2">
      <c r="A5060" t="str">
        <f>"05/02/2004"</f>
        <v>05/02/2004</v>
      </c>
      <c r="B5060">
        <v>3</v>
      </c>
      <c r="C5060">
        <v>13000</v>
      </c>
      <c r="D5060">
        <v>209788</v>
      </c>
      <c r="E5060">
        <v>13000</v>
      </c>
      <c r="F5060">
        <v>13000</v>
      </c>
      <c r="G5060" s="1">
        <v>4.5999999999999999E-2</v>
      </c>
      <c r="H5060" s="1">
        <v>4.5999999999999999E-2</v>
      </c>
      <c r="I5060" s="1">
        <v>4.5999999999999999E-2</v>
      </c>
      <c r="J5060" s="1">
        <v>5.9799999999999999E-2</v>
      </c>
    </row>
    <row r="5061" spans="1:10" x14ac:dyDescent="0.2">
      <c r="A5061" t="str">
        <f>"04/02/2004"</f>
        <v>04/02/2004</v>
      </c>
      <c r="B5061">
        <v>1</v>
      </c>
      <c r="C5061">
        <v>15500</v>
      </c>
      <c r="D5061">
        <v>240394</v>
      </c>
      <c r="E5061">
        <v>15500</v>
      </c>
      <c r="F5061">
        <v>15500</v>
      </c>
      <c r="G5061" s="1">
        <v>4.5999999999999999E-2</v>
      </c>
      <c r="H5061" s="1">
        <v>4.5999999999999999E-2</v>
      </c>
      <c r="I5061" s="1">
        <v>4.5999999999999999E-2</v>
      </c>
      <c r="J5061" s="1">
        <v>6.3299999999999995E-2</v>
      </c>
    </row>
    <row r="5062" spans="1:10" x14ac:dyDescent="0.2">
      <c r="A5062" t="str">
        <f>"03/02/2004"</f>
        <v>03/02/2004</v>
      </c>
      <c r="B5062">
        <v>1</v>
      </c>
      <c r="C5062">
        <v>14000</v>
      </c>
      <c r="D5062">
        <v>238697</v>
      </c>
      <c r="E5062">
        <v>14000</v>
      </c>
      <c r="F5062">
        <v>14000</v>
      </c>
      <c r="G5062" s="1">
        <v>4.5999999999999999E-2</v>
      </c>
      <c r="H5062" s="1">
        <v>4.5999999999999999E-2</v>
      </c>
      <c r="I5062" s="1">
        <v>4.5999999999999999E-2</v>
      </c>
      <c r="J5062" s="1">
        <v>5.7099999999999998E-2</v>
      </c>
    </row>
    <row r="5063" spans="1:10" x14ac:dyDescent="0.2">
      <c r="A5063" t="str">
        <f>"02/02/2004"</f>
        <v>02/02/2004</v>
      </c>
      <c r="B5063">
        <v>1</v>
      </c>
      <c r="C5063">
        <v>13000</v>
      </c>
      <c r="D5063">
        <v>214297</v>
      </c>
      <c r="E5063">
        <v>13000</v>
      </c>
      <c r="F5063">
        <v>13000</v>
      </c>
      <c r="G5063" s="1">
        <v>4.5999999999999999E-2</v>
      </c>
      <c r="H5063" s="1">
        <v>4.5900000000000003E-2</v>
      </c>
      <c r="I5063" s="1">
        <v>4.5900000000000003E-2</v>
      </c>
      <c r="J5063" s="1">
        <v>5.6500000000000002E-2</v>
      </c>
    </row>
    <row r="5064" spans="1:10" x14ac:dyDescent="0.2">
      <c r="A5064" t="str">
        <f>"01/02/2004"</f>
        <v>01/02/2004</v>
      </c>
      <c r="B5064">
        <v>1</v>
      </c>
      <c r="C5064">
        <v>12000</v>
      </c>
      <c r="D5064">
        <v>228596</v>
      </c>
      <c r="E5064">
        <v>12000</v>
      </c>
      <c r="F5064">
        <v>12000</v>
      </c>
      <c r="G5064" s="1">
        <v>4.5999999999999999E-2</v>
      </c>
      <c r="H5064" s="1">
        <v>4.5900000000000003E-2</v>
      </c>
      <c r="I5064" s="1">
        <v>4.5900000000000003E-2</v>
      </c>
      <c r="J5064" s="1">
        <v>4.8599999999999997E-2</v>
      </c>
    </row>
    <row r="5065" spans="1:10" x14ac:dyDescent="0.2">
      <c r="A5065" t="str">
        <f>"29/01/2004"</f>
        <v>29/01/2004</v>
      </c>
      <c r="B5065">
        <v>3</v>
      </c>
      <c r="C5065">
        <v>8500</v>
      </c>
      <c r="D5065">
        <v>8912</v>
      </c>
      <c r="E5065">
        <v>8500</v>
      </c>
      <c r="F5065">
        <v>8500</v>
      </c>
      <c r="G5065" s="1">
        <v>4.5999999999999999E-2</v>
      </c>
      <c r="H5065" s="1">
        <v>4.5999999999999999E-2</v>
      </c>
      <c r="I5065" s="1">
        <v>4.5999999999999999E-2</v>
      </c>
      <c r="J5065" s="1">
        <v>0.95350000000000001</v>
      </c>
    </row>
    <row r="5066" spans="1:10" x14ac:dyDescent="0.2">
      <c r="A5066" t="str">
        <f>"28/01/2004"</f>
        <v>28/01/2004</v>
      </c>
      <c r="B5066">
        <v>1</v>
      </c>
      <c r="C5066">
        <v>10500</v>
      </c>
      <c r="D5066">
        <v>11122</v>
      </c>
      <c r="E5066">
        <v>10500</v>
      </c>
      <c r="F5066">
        <v>10500</v>
      </c>
      <c r="G5066" s="1">
        <v>4.9000000000000002E-2</v>
      </c>
      <c r="H5066" s="1">
        <v>4.9000000000000002E-2</v>
      </c>
      <c r="I5066" s="1">
        <v>4.9000000000000002E-2</v>
      </c>
      <c r="J5066" s="1">
        <v>0.94379999999999997</v>
      </c>
    </row>
    <row r="5067" spans="1:10" x14ac:dyDescent="0.2">
      <c r="A5067" t="str">
        <f>"27/01/2004"</f>
        <v>27/01/2004</v>
      </c>
      <c r="B5067">
        <v>1</v>
      </c>
      <c r="C5067">
        <v>9500</v>
      </c>
      <c r="D5067">
        <v>189225</v>
      </c>
      <c r="E5067">
        <v>9500</v>
      </c>
      <c r="F5067">
        <v>9500</v>
      </c>
      <c r="G5067" s="1">
        <v>4.9000000000000002E-2</v>
      </c>
      <c r="H5067" s="1">
        <v>4.87E-2</v>
      </c>
      <c r="I5067" s="1">
        <v>4.87E-2</v>
      </c>
      <c r="J5067" s="1">
        <v>3.4299999999999997E-2</v>
      </c>
    </row>
    <row r="5068" spans="1:10" x14ac:dyDescent="0.2">
      <c r="A5068" t="str">
        <f>"26/01/2004"</f>
        <v>26/01/2004</v>
      </c>
      <c r="B5068">
        <v>1</v>
      </c>
      <c r="C5068">
        <v>9500</v>
      </c>
      <c r="D5068">
        <v>210125</v>
      </c>
      <c r="E5068">
        <v>9500</v>
      </c>
      <c r="F5068">
        <v>9500</v>
      </c>
      <c r="G5068" s="1">
        <v>4.9000000000000002E-2</v>
      </c>
      <c r="H5068" s="1">
        <v>4.87E-2</v>
      </c>
      <c r="I5068" s="1">
        <v>4.87E-2</v>
      </c>
      <c r="J5068" s="1">
        <v>3.0800000000000001E-2</v>
      </c>
    </row>
    <row r="5069" spans="1:10" x14ac:dyDescent="0.2">
      <c r="A5069" t="str">
        <f>"25/01/2004"</f>
        <v>25/01/2004</v>
      </c>
      <c r="B5069">
        <v>1</v>
      </c>
      <c r="C5069">
        <v>10000</v>
      </c>
      <c r="D5069">
        <v>191826</v>
      </c>
      <c r="E5069">
        <v>10000</v>
      </c>
      <c r="F5069">
        <v>10000</v>
      </c>
      <c r="G5069" s="1">
        <v>4.9000000000000002E-2</v>
      </c>
      <c r="H5069" s="1">
        <v>4.87E-2</v>
      </c>
      <c r="I5069" s="1">
        <v>4.87E-2</v>
      </c>
      <c r="J5069" s="1">
        <v>3.7400000000000003E-2</v>
      </c>
    </row>
    <row r="5070" spans="1:10" x14ac:dyDescent="0.2">
      <c r="A5070" t="str">
        <f>"22/01/2004"</f>
        <v>22/01/2004</v>
      </c>
      <c r="B5070">
        <v>3</v>
      </c>
      <c r="C5070">
        <v>10000</v>
      </c>
      <c r="D5070">
        <v>193627</v>
      </c>
      <c r="E5070">
        <v>10000</v>
      </c>
      <c r="F5070">
        <v>10000</v>
      </c>
      <c r="G5070" s="1">
        <v>4.9000000000000002E-2</v>
      </c>
      <c r="H5070" s="1">
        <v>4.87E-2</v>
      </c>
      <c r="I5070" s="1">
        <v>4.87E-2</v>
      </c>
      <c r="J5070" s="1">
        <v>3.8600000000000002E-2</v>
      </c>
    </row>
    <row r="5071" spans="1:10" x14ac:dyDescent="0.2">
      <c r="A5071" t="str">
        <f>"21/01/2004"</f>
        <v>21/01/2004</v>
      </c>
      <c r="B5071">
        <v>1</v>
      </c>
      <c r="C5071">
        <v>4500</v>
      </c>
      <c r="D5071">
        <v>98627</v>
      </c>
      <c r="E5071">
        <v>4500</v>
      </c>
      <c r="F5071">
        <v>4500</v>
      </c>
      <c r="G5071" s="1">
        <v>4.9000000000000002E-2</v>
      </c>
      <c r="H5071" s="1">
        <v>4.87E-2</v>
      </c>
      <c r="I5071" s="1">
        <v>4.87E-2</v>
      </c>
      <c r="J5071" s="1">
        <v>3.2099999999999997E-2</v>
      </c>
    </row>
    <row r="5072" spans="1:10" x14ac:dyDescent="0.2">
      <c r="A5072" t="str">
        <f>"20/01/2004"</f>
        <v>20/01/2004</v>
      </c>
      <c r="B5072">
        <v>1</v>
      </c>
      <c r="C5072">
        <v>8000</v>
      </c>
      <c r="D5072">
        <v>155103</v>
      </c>
      <c r="E5072">
        <v>8000</v>
      </c>
      <c r="F5072">
        <v>8000</v>
      </c>
      <c r="G5072" s="1">
        <v>4.9000000000000002E-2</v>
      </c>
      <c r="H5072" s="1">
        <v>4.87E-2</v>
      </c>
      <c r="I5072" s="1">
        <v>4.87E-2</v>
      </c>
      <c r="J5072" s="1">
        <v>3.85E-2</v>
      </c>
    </row>
    <row r="5073" spans="1:10" x14ac:dyDescent="0.2">
      <c r="A5073" t="str">
        <f>"19/01/2004"</f>
        <v>19/01/2004</v>
      </c>
      <c r="B5073">
        <v>1</v>
      </c>
      <c r="C5073">
        <v>7500</v>
      </c>
      <c r="D5073">
        <v>172403</v>
      </c>
      <c r="E5073">
        <v>7500</v>
      </c>
      <c r="F5073">
        <v>7500</v>
      </c>
      <c r="G5073" s="1">
        <v>4.9000000000000002E-2</v>
      </c>
      <c r="H5073" s="1">
        <v>4.87E-2</v>
      </c>
      <c r="I5073" s="1">
        <v>4.87E-2</v>
      </c>
      <c r="J5073" s="1">
        <v>3.1699999999999999E-2</v>
      </c>
    </row>
    <row r="5074" spans="1:10" x14ac:dyDescent="0.2">
      <c r="A5074" t="str">
        <f>"18/01/2004"</f>
        <v>18/01/2004</v>
      </c>
      <c r="B5074">
        <v>1</v>
      </c>
      <c r="C5074">
        <v>8500</v>
      </c>
      <c r="D5074">
        <v>180947</v>
      </c>
      <c r="E5074">
        <v>8500</v>
      </c>
      <c r="F5074">
        <v>8500</v>
      </c>
      <c r="G5074" s="1">
        <v>4.9000000000000002E-2</v>
      </c>
      <c r="H5074" s="1">
        <v>4.8800000000000003E-2</v>
      </c>
      <c r="I5074" s="1">
        <v>4.8800000000000003E-2</v>
      </c>
      <c r="J5074" s="1">
        <v>3.61E-2</v>
      </c>
    </row>
    <row r="5075" spans="1:10" x14ac:dyDescent="0.2">
      <c r="A5075" t="str">
        <f>"15/01/2004"</f>
        <v>15/01/2004</v>
      </c>
      <c r="B5075">
        <v>3</v>
      </c>
      <c r="C5075">
        <v>8500</v>
      </c>
      <c r="D5075">
        <v>182108</v>
      </c>
      <c r="E5075">
        <v>8500</v>
      </c>
      <c r="F5075">
        <v>8500</v>
      </c>
      <c r="G5075" s="1">
        <v>4.9000000000000002E-2</v>
      </c>
      <c r="H5075" s="1">
        <v>4.8800000000000003E-2</v>
      </c>
      <c r="I5075" s="1">
        <v>4.8800000000000003E-2</v>
      </c>
      <c r="J5075" s="1">
        <v>3.8199999999999998E-2</v>
      </c>
    </row>
    <row r="5076" spans="1:10" x14ac:dyDescent="0.2">
      <c r="A5076" t="str">
        <f>"15/01/2004"</f>
        <v>15/01/2004</v>
      </c>
      <c r="B5076">
        <v>1</v>
      </c>
      <c r="C5076">
        <v>7000</v>
      </c>
      <c r="D5076">
        <v>87451</v>
      </c>
      <c r="E5076">
        <v>7000</v>
      </c>
      <c r="F5076">
        <v>7000</v>
      </c>
      <c r="G5076" s="1">
        <v>4.9000000000000002E-2</v>
      </c>
      <c r="H5076" s="1">
        <v>4.8800000000000003E-2</v>
      </c>
      <c r="I5076" s="1">
        <v>4.8800000000000003E-2</v>
      </c>
      <c r="J5076" s="1">
        <v>6.6199999999999995E-2</v>
      </c>
    </row>
    <row r="5077" spans="1:10" x14ac:dyDescent="0.2">
      <c r="A5077" t="str">
        <f>"14/01/2004"</f>
        <v>14/01/2004</v>
      </c>
      <c r="B5077">
        <v>1</v>
      </c>
      <c r="C5077">
        <v>10000</v>
      </c>
      <c r="D5077">
        <v>224552</v>
      </c>
      <c r="E5077">
        <v>10000</v>
      </c>
      <c r="F5077">
        <v>10000</v>
      </c>
      <c r="G5077" s="1">
        <v>4.9000000000000002E-2</v>
      </c>
      <c r="H5077" s="1">
        <v>4.8800000000000003E-2</v>
      </c>
      <c r="I5077" s="1">
        <v>4.8800000000000003E-2</v>
      </c>
      <c r="J5077" s="1">
        <v>3.6400000000000002E-2</v>
      </c>
    </row>
    <row r="5078" spans="1:10" x14ac:dyDescent="0.2">
      <c r="A5078" t="str">
        <f>"13/01/2004"</f>
        <v>13/01/2004</v>
      </c>
      <c r="B5078">
        <v>1</v>
      </c>
      <c r="C5078">
        <v>10000</v>
      </c>
      <c r="D5078">
        <v>221873</v>
      </c>
      <c r="E5078">
        <v>10000</v>
      </c>
      <c r="F5078">
        <v>10000</v>
      </c>
      <c r="G5078" s="1">
        <v>4.9000000000000002E-2</v>
      </c>
      <c r="H5078" s="1">
        <v>4.8800000000000003E-2</v>
      </c>
      <c r="I5078" s="1">
        <v>4.8800000000000003E-2</v>
      </c>
      <c r="J5078" s="1">
        <v>3.6900000000000002E-2</v>
      </c>
    </row>
    <row r="5079" spans="1:10" x14ac:dyDescent="0.2">
      <c r="A5079" t="str">
        <f>"12/01/2004"</f>
        <v>12/01/2004</v>
      </c>
      <c r="B5079">
        <v>1</v>
      </c>
      <c r="C5079">
        <v>9500</v>
      </c>
      <c r="D5079">
        <v>223423</v>
      </c>
      <c r="E5079">
        <v>9500</v>
      </c>
      <c r="F5079">
        <v>9500</v>
      </c>
      <c r="G5079" s="1">
        <v>4.9000000000000002E-2</v>
      </c>
      <c r="H5079" s="1">
        <v>4.8800000000000003E-2</v>
      </c>
      <c r="I5079" s="1">
        <v>4.8800000000000003E-2</v>
      </c>
      <c r="J5079" s="1">
        <v>3.44E-2</v>
      </c>
    </row>
    <row r="5080" spans="1:10" x14ac:dyDescent="0.2">
      <c r="A5080" t="str">
        <f>"11/01/2004"</f>
        <v>11/01/2004</v>
      </c>
      <c r="B5080">
        <v>1</v>
      </c>
      <c r="C5080">
        <v>11000</v>
      </c>
      <c r="D5080">
        <v>219312</v>
      </c>
      <c r="E5080">
        <v>11000</v>
      </c>
      <c r="F5080">
        <v>11000</v>
      </c>
      <c r="G5080" s="1">
        <v>4.9000000000000002E-2</v>
      </c>
      <c r="H5080" s="1">
        <v>4.8800000000000003E-2</v>
      </c>
      <c r="I5080" s="1">
        <v>4.8800000000000003E-2</v>
      </c>
      <c r="J5080" s="1">
        <v>4.2000000000000003E-2</v>
      </c>
    </row>
    <row r="5081" spans="1:10" x14ac:dyDescent="0.2">
      <c r="A5081" t="str">
        <f>"08/01/2004"</f>
        <v>08/01/2004</v>
      </c>
      <c r="B5081">
        <v>3</v>
      </c>
      <c r="C5081">
        <v>11000</v>
      </c>
      <c r="D5081">
        <v>239309</v>
      </c>
      <c r="E5081">
        <v>11000</v>
      </c>
      <c r="F5081">
        <v>11000</v>
      </c>
      <c r="G5081" s="1">
        <v>4.9000000000000002E-2</v>
      </c>
      <c r="H5081" s="1">
        <v>4.8899999999999999E-2</v>
      </c>
      <c r="I5081" s="1">
        <v>4.8899999999999999E-2</v>
      </c>
      <c r="J5081" s="1">
        <v>4.0500000000000001E-2</v>
      </c>
    </row>
    <row r="5082" spans="1:10" x14ac:dyDescent="0.2">
      <c r="A5082" t="str">
        <f>"07/01/2004"</f>
        <v>07/01/2004</v>
      </c>
      <c r="B5082">
        <v>1</v>
      </c>
      <c r="C5082">
        <v>10000</v>
      </c>
      <c r="D5082">
        <v>224615</v>
      </c>
      <c r="E5082">
        <v>10000</v>
      </c>
      <c r="F5082">
        <v>10000</v>
      </c>
      <c r="G5082" s="1">
        <v>4.9000000000000002E-2</v>
      </c>
      <c r="H5082" s="1">
        <v>4.8800000000000003E-2</v>
      </c>
      <c r="I5082" s="1">
        <v>4.8800000000000003E-2</v>
      </c>
      <c r="J5082" s="1">
        <v>3.7600000000000001E-2</v>
      </c>
    </row>
    <row r="5083" spans="1:10" x14ac:dyDescent="0.2">
      <c r="A5083" t="str">
        <f>"06/01/2004"</f>
        <v>06/01/2004</v>
      </c>
      <c r="B5083">
        <v>1</v>
      </c>
      <c r="C5083">
        <v>13000</v>
      </c>
      <c r="D5083">
        <v>291069</v>
      </c>
      <c r="E5083">
        <v>13000</v>
      </c>
      <c r="F5083">
        <v>13000</v>
      </c>
      <c r="G5083" s="1">
        <v>4.9000000000000002E-2</v>
      </c>
      <c r="H5083" s="1">
        <v>4.8899999999999999E-2</v>
      </c>
      <c r="I5083" s="1">
        <v>4.8899999999999999E-2</v>
      </c>
      <c r="J5083" s="1">
        <v>3.9300000000000002E-2</v>
      </c>
    </row>
    <row r="5084" spans="1:10" x14ac:dyDescent="0.2">
      <c r="A5084" t="str">
        <f>"05/01/2004"</f>
        <v>05/01/2004</v>
      </c>
      <c r="B5084">
        <v>1</v>
      </c>
      <c r="C5084">
        <v>10000</v>
      </c>
      <c r="D5084">
        <v>228059</v>
      </c>
      <c r="E5084">
        <v>10000</v>
      </c>
      <c r="F5084">
        <v>10000</v>
      </c>
      <c r="G5084" s="1">
        <v>4.9000000000000002E-2</v>
      </c>
      <c r="H5084" s="1">
        <v>4.8899999999999999E-2</v>
      </c>
      <c r="I5084" s="1">
        <v>4.8899999999999999E-2</v>
      </c>
      <c r="J5084" s="1">
        <v>3.8300000000000001E-2</v>
      </c>
    </row>
    <row r="5085" spans="1:10" x14ac:dyDescent="0.2">
      <c r="A5085" t="str">
        <f>"04/01/2004"</f>
        <v>04/01/2004</v>
      </c>
      <c r="B5085">
        <v>1</v>
      </c>
      <c r="C5085">
        <v>12500</v>
      </c>
      <c r="D5085">
        <v>212511</v>
      </c>
      <c r="E5085">
        <v>12500</v>
      </c>
      <c r="F5085">
        <v>12500</v>
      </c>
      <c r="G5085" s="1">
        <v>4.9000000000000002E-2</v>
      </c>
      <c r="H5085" s="1">
        <v>4.8899999999999999E-2</v>
      </c>
      <c r="I5085" s="1">
        <v>4.8899999999999999E-2</v>
      </c>
      <c r="J5085" s="1">
        <v>5.2999999999999999E-2</v>
      </c>
    </row>
    <row r="5086" spans="1:10" x14ac:dyDescent="0.2">
      <c r="A5086" t="str">
        <f>"01/01/2004"</f>
        <v>01/01/2004</v>
      </c>
      <c r="B5086">
        <v>3</v>
      </c>
      <c r="C5086">
        <v>12500</v>
      </c>
      <c r="D5086">
        <v>185502</v>
      </c>
      <c r="E5086">
        <v>12500</v>
      </c>
      <c r="F5086">
        <v>12500</v>
      </c>
      <c r="G5086" s="1">
        <v>4.9000000000000002E-2</v>
      </c>
      <c r="H5086" s="1">
        <v>4.8899999999999999E-2</v>
      </c>
      <c r="I5086" s="1">
        <v>4.8899999999999999E-2</v>
      </c>
      <c r="J5086" s="1">
        <v>6.0499999999999998E-2</v>
      </c>
    </row>
    <row r="5087" spans="1:10" x14ac:dyDescent="0.2">
      <c r="A5087" t="str">
        <f>"31/12/2003"</f>
        <v>31/12/2003</v>
      </c>
      <c r="B5087">
        <v>1</v>
      </c>
      <c r="C5087">
        <v>20000</v>
      </c>
      <c r="D5087">
        <v>15257</v>
      </c>
      <c r="E5087">
        <v>15257</v>
      </c>
      <c r="F5087">
        <v>15257</v>
      </c>
      <c r="G5087" s="1">
        <v>5.2999999999999999E-2</v>
      </c>
      <c r="H5087" s="1">
        <v>5.2999999999999999E-2</v>
      </c>
      <c r="I5087" s="1">
        <v>5.2999999999999999E-2</v>
      </c>
      <c r="J5087" s="1">
        <v>1</v>
      </c>
    </row>
    <row r="5088" spans="1:10" x14ac:dyDescent="0.2">
      <c r="A5088" t="str">
        <f>"30/12/2003"</f>
        <v>30/12/2003</v>
      </c>
      <c r="B5088">
        <v>1</v>
      </c>
      <c r="C5088">
        <v>10500</v>
      </c>
      <c r="D5088">
        <v>145751</v>
      </c>
      <c r="E5088">
        <v>10500</v>
      </c>
      <c r="F5088">
        <v>10500</v>
      </c>
      <c r="G5088" s="1">
        <v>5.2999999999999999E-2</v>
      </c>
      <c r="H5088" s="1">
        <v>5.2900000000000003E-2</v>
      </c>
      <c r="I5088" s="1">
        <v>5.2900000000000003E-2</v>
      </c>
      <c r="J5088" s="1">
        <v>6.4699999999999994E-2</v>
      </c>
    </row>
    <row r="5089" spans="1:10" x14ac:dyDescent="0.2">
      <c r="A5089" t="str">
        <f>"29/12/2003"</f>
        <v>29/12/2003</v>
      </c>
      <c r="B5089">
        <v>1</v>
      </c>
      <c r="C5089">
        <v>9500</v>
      </c>
      <c r="D5089">
        <v>144100</v>
      </c>
      <c r="E5089">
        <v>9500</v>
      </c>
      <c r="F5089">
        <v>9500</v>
      </c>
      <c r="G5089" s="1">
        <v>5.2999999999999999E-2</v>
      </c>
      <c r="H5089" s="1">
        <v>5.2900000000000003E-2</v>
      </c>
      <c r="I5089" s="1">
        <v>5.2900000000000003E-2</v>
      </c>
      <c r="J5089" s="1">
        <v>5.8700000000000002E-2</v>
      </c>
    </row>
    <row r="5090" spans="1:10" x14ac:dyDescent="0.2">
      <c r="A5090" t="str">
        <f>"28/12/2003"</f>
        <v>28/12/2003</v>
      </c>
      <c r="B5090">
        <v>1</v>
      </c>
      <c r="C5090">
        <v>9000</v>
      </c>
      <c r="D5090">
        <v>135699</v>
      </c>
      <c r="E5090">
        <v>9000</v>
      </c>
      <c r="F5090">
        <v>9000</v>
      </c>
      <c r="G5090" s="1">
        <v>5.2999999999999999E-2</v>
      </c>
      <c r="H5090" s="1">
        <v>5.2900000000000003E-2</v>
      </c>
      <c r="I5090" s="1">
        <v>5.2900000000000003E-2</v>
      </c>
      <c r="J5090" s="1">
        <v>6.0400000000000002E-2</v>
      </c>
    </row>
    <row r="5091" spans="1:10" x14ac:dyDescent="0.2">
      <c r="A5091" t="str">
        <f>"25/12/2003"</f>
        <v>25/12/2003</v>
      </c>
      <c r="B5091">
        <v>3</v>
      </c>
      <c r="C5091">
        <v>5500</v>
      </c>
      <c r="D5091">
        <v>84597</v>
      </c>
      <c r="E5091">
        <v>5500</v>
      </c>
      <c r="F5091">
        <v>5500</v>
      </c>
      <c r="G5091" s="1">
        <v>5.2999999999999999E-2</v>
      </c>
      <c r="H5091" s="1">
        <v>5.28E-2</v>
      </c>
      <c r="I5091" s="1">
        <v>5.28E-2</v>
      </c>
      <c r="J5091" s="1">
        <v>5.4399999999999997E-2</v>
      </c>
    </row>
    <row r="5092" spans="1:10" x14ac:dyDescent="0.2">
      <c r="A5092" t="str">
        <f>"24/12/2003"</f>
        <v>24/12/2003</v>
      </c>
      <c r="B5092">
        <v>1</v>
      </c>
      <c r="C5092">
        <v>5500</v>
      </c>
      <c r="D5092">
        <v>105397</v>
      </c>
      <c r="E5092">
        <v>5500</v>
      </c>
      <c r="F5092">
        <v>5500</v>
      </c>
      <c r="G5092" s="1">
        <v>5.2999999999999999E-2</v>
      </c>
      <c r="H5092" s="1">
        <v>5.28E-2</v>
      </c>
      <c r="I5092" s="1">
        <v>5.28E-2</v>
      </c>
      <c r="J5092" s="1">
        <v>4.36E-2</v>
      </c>
    </row>
    <row r="5093" spans="1:10" x14ac:dyDescent="0.2">
      <c r="A5093" t="str">
        <f>"23/12/2003"</f>
        <v>23/12/2003</v>
      </c>
      <c r="B5093">
        <v>1</v>
      </c>
      <c r="C5093">
        <v>6000</v>
      </c>
      <c r="D5093">
        <v>112182</v>
      </c>
      <c r="E5093">
        <v>6000</v>
      </c>
      <c r="F5093">
        <v>6000</v>
      </c>
      <c r="G5093" s="1">
        <v>5.2999999999999999E-2</v>
      </c>
      <c r="H5093" s="1">
        <v>5.28E-2</v>
      </c>
      <c r="I5093" s="1">
        <v>5.28E-2</v>
      </c>
      <c r="J5093" s="1">
        <v>4.4299999999999999E-2</v>
      </c>
    </row>
    <row r="5094" spans="1:10" x14ac:dyDescent="0.2">
      <c r="A5094" t="str">
        <f>"22/12/2003"</f>
        <v>22/12/2003</v>
      </c>
      <c r="B5094">
        <v>1</v>
      </c>
      <c r="C5094">
        <v>6500</v>
      </c>
      <c r="D5094">
        <v>120873</v>
      </c>
      <c r="E5094">
        <v>6500</v>
      </c>
      <c r="F5094">
        <v>6500</v>
      </c>
      <c r="G5094" s="1">
        <v>5.2999999999999999E-2</v>
      </c>
      <c r="H5094" s="1">
        <v>5.28E-2</v>
      </c>
      <c r="I5094" s="1">
        <v>5.28E-2</v>
      </c>
      <c r="J5094" s="1">
        <v>4.53E-2</v>
      </c>
    </row>
    <row r="5095" spans="1:10" x14ac:dyDescent="0.2">
      <c r="A5095" t="str">
        <f>"21/12/2003"</f>
        <v>21/12/2003</v>
      </c>
      <c r="B5095">
        <v>1</v>
      </c>
      <c r="C5095">
        <v>8000</v>
      </c>
      <c r="D5095">
        <v>123873</v>
      </c>
      <c r="E5095">
        <v>8000</v>
      </c>
      <c r="F5095">
        <v>8000</v>
      </c>
      <c r="G5095" s="1">
        <v>5.2999999999999999E-2</v>
      </c>
      <c r="H5095" s="1">
        <v>5.2900000000000003E-2</v>
      </c>
      <c r="I5095" s="1">
        <v>5.2900000000000003E-2</v>
      </c>
      <c r="J5095" s="1">
        <v>5.6399999999999999E-2</v>
      </c>
    </row>
    <row r="5096" spans="1:10" x14ac:dyDescent="0.2">
      <c r="A5096" t="str">
        <f>"18/12/2003"</f>
        <v>18/12/2003</v>
      </c>
      <c r="B5096">
        <v>3</v>
      </c>
      <c r="C5096">
        <v>7000</v>
      </c>
      <c r="D5096">
        <v>103568</v>
      </c>
      <c r="E5096">
        <v>7000</v>
      </c>
      <c r="F5096">
        <v>7000</v>
      </c>
      <c r="G5096" s="1">
        <v>5.2999999999999999E-2</v>
      </c>
      <c r="H5096" s="1">
        <v>5.28E-2</v>
      </c>
      <c r="I5096" s="1">
        <v>5.28E-2</v>
      </c>
      <c r="J5096" s="1">
        <v>5.79E-2</v>
      </c>
    </row>
    <row r="5097" spans="1:10" x14ac:dyDescent="0.2">
      <c r="A5097" t="str">
        <f>"17/12/2003"</f>
        <v>17/12/2003</v>
      </c>
      <c r="B5097">
        <v>1</v>
      </c>
      <c r="C5097">
        <v>5000</v>
      </c>
      <c r="D5097">
        <v>99272</v>
      </c>
      <c r="E5097">
        <v>5000</v>
      </c>
      <c r="F5097">
        <v>5000</v>
      </c>
      <c r="G5097" s="1">
        <v>5.2999999999999999E-2</v>
      </c>
      <c r="H5097" s="1">
        <v>5.2900000000000003E-2</v>
      </c>
      <c r="I5097" s="1">
        <v>5.2900000000000003E-2</v>
      </c>
      <c r="J5097" s="1">
        <v>4.4900000000000002E-2</v>
      </c>
    </row>
    <row r="5098" spans="1:10" x14ac:dyDescent="0.2">
      <c r="A5098" t="str">
        <f>"16/12/2003"</f>
        <v>16/12/2003</v>
      </c>
      <c r="B5098">
        <v>1</v>
      </c>
      <c r="C5098">
        <v>8000</v>
      </c>
      <c r="D5098">
        <v>129588</v>
      </c>
      <c r="E5098">
        <v>8000</v>
      </c>
      <c r="F5098">
        <v>8000</v>
      </c>
      <c r="G5098" s="1">
        <v>5.2999999999999999E-2</v>
      </c>
      <c r="H5098" s="1">
        <v>5.2900000000000003E-2</v>
      </c>
      <c r="I5098" s="1">
        <v>5.2900000000000003E-2</v>
      </c>
      <c r="J5098" s="1">
        <v>5.5599999999999997E-2</v>
      </c>
    </row>
    <row r="5099" spans="1:10" x14ac:dyDescent="0.2">
      <c r="A5099" t="str">
        <f>"15/12/2003"</f>
        <v>15/12/2003</v>
      </c>
      <c r="B5099">
        <v>1</v>
      </c>
      <c r="C5099">
        <v>14000</v>
      </c>
      <c r="D5099">
        <v>252494</v>
      </c>
      <c r="E5099">
        <v>14000</v>
      </c>
      <c r="F5099">
        <v>14000</v>
      </c>
      <c r="G5099" s="1">
        <v>5.2999999999999999E-2</v>
      </c>
      <c r="H5099" s="1">
        <v>5.2900000000000003E-2</v>
      </c>
      <c r="I5099" s="1">
        <v>5.2900000000000003E-2</v>
      </c>
      <c r="J5099" s="1">
        <v>5.1299999999999998E-2</v>
      </c>
    </row>
    <row r="5100" spans="1:10" x14ac:dyDescent="0.2">
      <c r="A5100" t="str">
        <f>"14/12/2003"</f>
        <v>14/12/2003</v>
      </c>
      <c r="B5100">
        <v>1</v>
      </c>
      <c r="C5100">
        <v>14500</v>
      </c>
      <c r="D5100">
        <v>244141</v>
      </c>
      <c r="E5100">
        <v>14500</v>
      </c>
      <c r="F5100">
        <v>14500</v>
      </c>
      <c r="G5100" s="1">
        <v>5.2999999999999999E-2</v>
      </c>
      <c r="H5100" s="1">
        <v>5.2900000000000003E-2</v>
      </c>
      <c r="I5100" s="1">
        <v>5.2900000000000003E-2</v>
      </c>
      <c r="J5100" s="1">
        <v>5.5399999999999998E-2</v>
      </c>
    </row>
    <row r="5101" spans="1:10" x14ac:dyDescent="0.2">
      <c r="A5101" t="str">
        <f>"11/12/2003"</f>
        <v>11/12/2003</v>
      </c>
      <c r="B5101">
        <v>3</v>
      </c>
      <c r="C5101">
        <v>14000</v>
      </c>
      <c r="D5101">
        <v>243893</v>
      </c>
      <c r="E5101">
        <v>14000</v>
      </c>
      <c r="F5101">
        <v>14000</v>
      </c>
      <c r="G5101" s="1">
        <v>5.2999999999999999E-2</v>
      </c>
      <c r="H5101" s="1">
        <v>5.2900000000000003E-2</v>
      </c>
      <c r="I5101" s="1">
        <v>5.2900000000000003E-2</v>
      </c>
      <c r="J5101" s="1">
        <v>5.4100000000000002E-2</v>
      </c>
    </row>
    <row r="5102" spans="1:10" x14ac:dyDescent="0.2">
      <c r="A5102" t="str">
        <f>"10/12/2003"</f>
        <v>10/12/2003</v>
      </c>
      <c r="B5102">
        <v>1</v>
      </c>
      <c r="C5102">
        <v>11000</v>
      </c>
      <c r="D5102">
        <v>202880</v>
      </c>
      <c r="E5102">
        <v>11000</v>
      </c>
      <c r="F5102">
        <v>11000</v>
      </c>
      <c r="G5102" s="1">
        <v>5.2999999999999999E-2</v>
      </c>
      <c r="H5102" s="1">
        <v>5.2900000000000003E-2</v>
      </c>
      <c r="I5102" s="1">
        <v>5.2900000000000003E-2</v>
      </c>
      <c r="J5102" s="1">
        <v>5.1499999999999997E-2</v>
      </c>
    </row>
    <row r="5103" spans="1:10" x14ac:dyDescent="0.2">
      <c r="A5103" t="str">
        <f>"09/12/2003"</f>
        <v>09/12/2003</v>
      </c>
      <c r="B5103">
        <v>1</v>
      </c>
      <c r="C5103">
        <v>11500</v>
      </c>
      <c r="D5103">
        <v>213441</v>
      </c>
      <c r="E5103">
        <v>11500</v>
      </c>
      <c r="F5103">
        <v>11500</v>
      </c>
      <c r="G5103" s="1">
        <v>5.2999999999999999E-2</v>
      </c>
      <c r="H5103" s="1">
        <v>5.2999999999999999E-2</v>
      </c>
      <c r="I5103" s="1">
        <v>5.2999999999999999E-2</v>
      </c>
      <c r="J5103" s="1">
        <v>5.1499999999999997E-2</v>
      </c>
    </row>
    <row r="5104" spans="1:10" x14ac:dyDescent="0.2">
      <c r="A5104" t="str">
        <f>"08/12/2003"</f>
        <v>08/12/2003</v>
      </c>
      <c r="B5104">
        <v>1</v>
      </c>
      <c r="C5104">
        <v>11500</v>
      </c>
      <c r="D5104">
        <v>217049</v>
      </c>
      <c r="E5104">
        <v>11500</v>
      </c>
      <c r="F5104">
        <v>11500</v>
      </c>
      <c r="G5104" s="1">
        <v>5.2999999999999999E-2</v>
      </c>
      <c r="H5104" s="1">
        <v>5.2999999999999999E-2</v>
      </c>
      <c r="I5104" s="1">
        <v>5.2999999999999999E-2</v>
      </c>
      <c r="J5104" s="1">
        <v>5.0599999999999999E-2</v>
      </c>
    </row>
    <row r="5105" spans="1:10" x14ac:dyDescent="0.2">
      <c r="A5105" t="str">
        <f>"07/12/2003"</f>
        <v>07/12/2003</v>
      </c>
      <c r="B5105">
        <v>1</v>
      </c>
      <c r="C5105">
        <v>11500</v>
      </c>
      <c r="D5105">
        <v>206701</v>
      </c>
      <c r="E5105">
        <v>11500</v>
      </c>
      <c r="F5105">
        <v>11500</v>
      </c>
      <c r="G5105" s="1">
        <v>5.2999999999999999E-2</v>
      </c>
      <c r="H5105" s="1">
        <v>5.2999999999999999E-2</v>
      </c>
      <c r="I5105" s="1">
        <v>5.2999999999999999E-2</v>
      </c>
      <c r="J5105" s="1">
        <v>5.3100000000000001E-2</v>
      </c>
    </row>
    <row r="5106" spans="1:10" x14ac:dyDescent="0.2">
      <c r="A5106" t="str">
        <f>"04/12/2003"</f>
        <v>04/12/2003</v>
      </c>
      <c r="B5106">
        <v>3</v>
      </c>
      <c r="C5106">
        <v>11500</v>
      </c>
      <c r="D5106">
        <v>192802</v>
      </c>
      <c r="E5106">
        <v>11500</v>
      </c>
      <c r="F5106">
        <v>11500</v>
      </c>
      <c r="G5106" s="1">
        <v>5.2999999999999999E-2</v>
      </c>
      <c r="H5106" s="1">
        <v>5.2999999999999999E-2</v>
      </c>
      <c r="I5106" s="1">
        <v>5.2999999999999999E-2</v>
      </c>
      <c r="J5106" s="1">
        <v>5.6899999999999999E-2</v>
      </c>
    </row>
    <row r="5107" spans="1:10" x14ac:dyDescent="0.2">
      <c r="A5107" t="str">
        <f>"03/12/2003"</f>
        <v>03/12/2003</v>
      </c>
      <c r="B5107">
        <v>1</v>
      </c>
      <c r="C5107">
        <v>13500</v>
      </c>
      <c r="D5107">
        <v>179353</v>
      </c>
      <c r="E5107">
        <v>13500</v>
      </c>
      <c r="F5107">
        <v>13500</v>
      </c>
      <c r="G5107" s="1">
        <v>5.2999999999999999E-2</v>
      </c>
      <c r="H5107" s="1">
        <v>5.2999999999999999E-2</v>
      </c>
      <c r="I5107" s="1">
        <v>5.2999999999999999E-2</v>
      </c>
      <c r="J5107" s="1">
        <v>7.3999999999999996E-2</v>
      </c>
    </row>
    <row r="5108" spans="1:10" x14ac:dyDescent="0.2">
      <c r="A5108" t="str">
        <f>"02/12/2003"</f>
        <v>02/12/2003</v>
      </c>
      <c r="B5108">
        <v>1</v>
      </c>
      <c r="C5108">
        <v>12000</v>
      </c>
      <c r="D5108">
        <v>168780</v>
      </c>
      <c r="E5108">
        <v>12000</v>
      </c>
      <c r="F5108">
        <v>12000</v>
      </c>
      <c r="G5108" s="1">
        <v>5.2999999999999999E-2</v>
      </c>
      <c r="H5108" s="1">
        <v>5.2900000000000003E-2</v>
      </c>
      <c r="I5108" s="1">
        <v>5.2900000000000003E-2</v>
      </c>
      <c r="J5108" s="1">
        <v>6.6500000000000004E-2</v>
      </c>
    </row>
    <row r="5109" spans="1:10" x14ac:dyDescent="0.2">
      <c r="A5109" t="str">
        <f>"01/12/2003"</f>
        <v>01/12/2003</v>
      </c>
      <c r="B5109">
        <v>1</v>
      </c>
      <c r="C5109">
        <v>12000</v>
      </c>
      <c r="D5109">
        <v>170357</v>
      </c>
      <c r="E5109">
        <v>12000</v>
      </c>
      <c r="F5109">
        <v>12000</v>
      </c>
      <c r="G5109" s="1">
        <v>5.2999999999999999E-2</v>
      </c>
      <c r="H5109" s="1">
        <v>5.2999999999999999E-2</v>
      </c>
      <c r="I5109" s="1">
        <v>5.2999999999999999E-2</v>
      </c>
      <c r="J5109" s="1">
        <v>6.7400000000000002E-2</v>
      </c>
    </row>
    <row r="5110" spans="1:10" x14ac:dyDescent="0.2">
      <c r="A5110" t="str">
        <f>"30/11/2003"</f>
        <v>30/11/2003</v>
      </c>
      <c r="B5110">
        <v>1</v>
      </c>
      <c r="C5110">
        <v>9500</v>
      </c>
      <c r="D5110">
        <v>10654</v>
      </c>
      <c r="E5110">
        <v>9500</v>
      </c>
      <c r="F5110">
        <v>9500</v>
      </c>
      <c r="G5110" s="1">
        <v>5.2999999999999999E-2</v>
      </c>
      <c r="H5110" s="1">
        <v>5.2999999999999999E-2</v>
      </c>
      <c r="I5110" s="1">
        <v>5.2999999999999999E-2</v>
      </c>
      <c r="J5110" s="1">
        <v>0.8911</v>
      </c>
    </row>
    <row r="5111" spans="1:10" x14ac:dyDescent="0.2">
      <c r="A5111" t="str">
        <f>"27/11/2003"</f>
        <v>27/11/2003</v>
      </c>
      <c r="B5111">
        <v>3</v>
      </c>
      <c r="C5111">
        <v>7500</v>
      </c>
      <c r="D5111">
        <v>119007</v>
      </c>
      <c r="E5111">
        <v>7500</v>
      </c>
      <c r="F5111">
        <v>7500</v>
      </c>
      <c r="G5111" s="1">
        <v>5.2999999999999999E-2</v>
      </c>
      <c r="H5111" s="1">
        <v>5.2900000000000003E-2</v>
      </c>
      <c r="I5111" s="1">
        <v>5.2900000000000003E-2</v>
      </c>
      <c r="J5111" s="1">
        <v>5.8200000000000002E-2</v>
      </c>
    </row>
    <row r="5112" spans="1:10" x14ac:dyDescent="0.2">
      <c r="A5112" t="str">
        <f>"26/11/2003"</f>
        <v>26/11/2003</v>
      </c>
      <c r="B5112">
        <v>1</v>
      </c>
      <c r="C5112">
        <v>5000</v>
      </c>
      <c r="D5112">
        <v>4951</v>
      </c>
      <c r="E5112">
        <v>4951</v>
      </c>
      <c r="F5112">
        <v>4951</v>
      </c>
      <c r="G5112" s="1">
        <v>5.7000000000000002E-2</v>
      </c>
      <c r="H5112" s="1">
        <v>5.7000000000000002E-2</v>
      </c>
      <c r="I5112" s="1">
        <v>5.7000000000000002E-2</v>
      </c>
      <c r="J5112" s="1">
        <v>1</v>
      </c>
    </row>
    <row r="5113" spans="1:10" x14ac:dyDescent="0.2">
      <c r="A5113" t="str">
        <f>"25/11/2003"</f>
        <v>25/11/2003</v>
      </c>
      <c r="B5113">
        <v>1</v>
      </c>
      <c r="C5113">
        <v>5000</v>
      </c>
      <c r="D5113">
        <v>56061</v>
      </c>
      <c r="E5113">
        <v>5000</v>
      </c>
      <c r="F5113">
        <v>5000</v>
      </c>
      <c r="G5113" s="1">
        <v>5.7000000000000002E-2</v>
      </c>
      <c r="H5113" s="1">
        <v>5.7000000000000002E-2</v>
      </c>
      <c r="I5113" s="1">
        <v>5.7000000000000002E-2</v>
      </c>
      <c r="J5113" s="1">
        <v>8.8200000000000001E-2</v>
      </c>
    </row>
    <row r="5114" spans="1:10" x14ac:dyDescent="0.2">
      <c r="A5114" t="str">
        <f>"24/11/2003"</f>
        <v>24/11/2003</v>
      </c>
      <c r="B5114">
        <v>1</v>
      </c>
      <c r="C5114">
        <v>5000</v>
      </c>
      <c r="D5114">
        <v>67963</v>
      </c>
      <c r="E5114">
        <v>5000</v>
      </c>
      <c r="F5114">
        <v>5000</v>
      </c>
      <c r="G5114" s="1">
        <v>5.7000000000000002E-2</v>
      </c>
      <c r="H5114" s="1">
        <v>5.6899999999999999E-2</v>
      </c>
      <c r="I5114" s="1">
        <v>5.6899999999999999E-2</v>
      </c>
      <c r="J5114" s="1">
        <v>7.0000000000000007E-2</v>
      </c>
    </row>
    <row r="5115" spans="1:10" x14ac:dyDescent="0.2">
      <c r="A5115" t="str">
        <f>"23/11/2003"</f>
        <v>23/11/2003</v>
      </c>
      <c r="B5115">
        <v>1</v>
      </c>
      <c r="C5115">
        <v>7000</v>
      </c>
      <c r="D5115">
        <v>88260</v>
      </c>
      <c r="E5115">
        <v>7000</v>
      </c>
      <c r="F5115">
        <v>7000</v>
      </c>
      <c r="G5115" s="1">
        <v>5.7000000000000002E-2</v>
      </c>
      <c r="H5115" s="1">
        <v>5.7000000000000002E-2</v>
      </c>
      <c r="I5115" s="1">
        <v>5.7000000000000002E-2</v>
      </c>
      <c r="J5115" s="1">
        <v>7.6100000000000001E-2</v>
      </c>
    </row>
    <row r="5116" spans="1:10" x14ac:dyDescent="0.2">
      <c r="A5116" t="str">
        <f>"20/11/2003"</f>
        <v>20/11/2003</v>
      </c>
      <c r="B5116">
        <v>3</v>
      </c>
      <c r="C5116">
        <v>8000</v>
      </c>
      <c r="D5116">
        <v>147960</v>
      </c>
      <c r="E5116">
        <v>8000</v>
      </c>
      <c r="F5116">
        <v>8000</v>
      </c>
      <c r="G5116" s="1">
        <v>5.7000000000000002E-2</v>
      </c>
      <c r="H5116" s="1">
        <v>5.6899999999999999E-2</v>
      </c>
      <c r="I5116" s="1">
        <v>5.6899999999999999E-2</v>
      </c>
      <c r="J5116" s="1">
        <v>5.0500000000000003E-2</v>
      </c>
    </row>
    <row r="5117" spans="1:10" x14ac:dyDescent="0.2">
      <c r="A5117" t="str">
        <f>"19/11/2003"</f>
        <v>19/11/2003</v>
      </c>
      <c r="B5117">
        <v>1</v>
      </c>
      <c r="C5117">
        <v>5000</v>
      </c>
      <c r="D5117">
        <v>91060</v>
      </c>
      <c r="E5117">
        <v>5000</v>
      </c>
      <c r="F5117">
        <v>5000</v>
      </c>
      <c r="G5117" s="1">
        <v>5.7000000000000002E-2</v>
      </c>
      <c r="H5117" s="1">
        <v>5.6899999999999999E-2</v>
      </c>
      <c r="I5117" s="1">
        <v>5.6899999999999999E-2</v>
      </c>
      <c r="J5117" s="1">
        <v>4.9099999999999998E-2</v>
      </c>
    </row>
    <row r="5118" spans="1:10" x14ac:dyDescent="0.2">
      <c r="A5118" t="str">
        <f>"18/11/2003"</f>
        <v>18/11/2003</v>
      </c>
      <c r="B5118">
        <v>1</v>
      </c>
      <c r="C5118">
        <v>7000</v>
      </c>
      <c r="D5118">
        <v>131061</v>
      </c>
      <c r="E5118">
        <v>7000</v>
      </c>
      <c r="F5118">
        <v>7000</v>
      </c>
      <c r="G5118" s="1">
        <v>5.7000000000000002E-2</v>
      </c>
      <c r="H5118" s="1">
        <v>5.6899999999999999E-2</v>
      </c>
      <c r="I5118" s="1">
        <v>5.6899999999999999E-2</v>
      </c>
      <c r="J5118" s="1">
        <v>4.7500000000000001E-2</v>
      </c>
    </row>
    <row r="5119" spans="1:10" x14ac:dyDescent="0.2">
      <c r="A5119" t="str">
        <f>"17/11/2003"</f>
        <v>17/11/2003</v>
      </c>
      <c r="B5119">
        <v>1</v>
      </c>
      <c r="C5119">
        <v>9500</v>
      </c>
      <c r="D5119">
        <v>151209</v>
      </c>
      <c r="E5119">
        <v>9500</v>
      </c>
      <c r="F5119">
        <v>9500</v>
      </c>
      <c r="G5119" s="1">
        <v>5.7000000000000002E-2</v>
      </c>
      <c r="H5119" s="1">
        <v>5.6899999999999999E-2</v>
      </c>
      <c r="I5119" s="1">
        <v>5.6899999999999999E-2</v>
      </c>
      <c r="J5119" s="1">
        <v>5.9299999999999999E-2</v>
      </c>
    </row>
    <row r="5120" spans="1:10" x14ac:dyDescent="0.2">
      <c r="A5120" t="str">
        <f>"16/11/2003"</f>
        <v>16/11/2003</v>
      </c>
      <c r="B5120">
        <v>1</v>
      </c>
      <c r="C5120">
        <v>15500</v>
      </c>
      <c r="D5120">
        <v>250313</v>
      </c>
      <c r="E5120">
        <v>15500</v>
      </c>
      <c r="F5120">
        <v>15500</v>
      </c>
      <c r="G5120" s="1">
        <v>5.7000000000000002E-2</v>
      </c>
      <c r="H5120" s="1">
        <v>5.6899999999999999E-2</v>
      </c>
      <c r="I5120" s="1">
        <v>5.6899999999999999E-2</v>
      </c>
      <c r="J5120" s="1">
        <v>5.8900000000000001E-2</v>
      </c>
    </row>
    <row r="5121" spans="1:10" x14ac:dyDescent="0.2">
      <c r="A5121" t="str">
        <f>"13/11/2003"</f>
        <v>13/11/2003</v>
      </c>
      <c r="B5121">
        <v>3</v>
      </c>
      <c r="C5121">
        <v>16000</v>
      </c>
      <c r="D5121">
        <v>251461</v>
      </c>
      <c r="E5121">
        <v>16000</v>
      </c>
      <c r="F5121">
        <v>16000</v>
      </c>
      <c r="G5121" s="1">
        <v>5.7000000000000002E-2</v>
      </c>
      <c r="H5121" s="1">
        <v>5.6899999999999999E-2</v>
      </c>
      <c r="I5121" s="1">
        <v>5.6899999999999999E-2</v>
      </c>
      <c r="J5121" s="1">
        <v>6.0600000000000001E-2</v>
      </c>
    </row>
    <row r="5122" spans="1:10" x14ac:dyDescent="0.2">
      <c r="A5122" t="str">
        <f>"12/11/2003"</f>
        <v>12/11/2003</v>
      </c>
      <c r="B5122">
        <v>1</v>
      </c>
      <c r="C5122">
        <v>10000</v>
      </c>
      <c r="D5122">
        <v>170969</v>
      </c>
      <c r="E5122">
        <v>10000</v>
      </c>
      <c r="F5122">
        <v>10000</v>
      </c>
      <c r="G5122" s="1">
        <v>5.7000000000000002E-2</v>
      </c>
      <c r="H5122" s="1">
        <v>5.7000000000000002E-2</v>
      </c>
      <c r="I5122" s="1">
        <v>5.7000000000000002E-2</v>
      </c>
      <c r="J5122" s="1">
        <v>5.8099999999999999E-2</v>
      </c>
    </row>
    <row r="5123" spans="1:10" x14ac:dyDescent="0.2">
      <c r="A5123" t="str">
        <f>"11/11/2003"</f>
        <v>11/11/2003</v>
      </c>
      <c r="B5123">
        <v>1</v>
      </c>
      <c r="C5123">
        <v>11000</v>
      </c>
      <c r="D5123">
        <v>181804</v>
      </c>
      <c r="E5123">
        <v>11000</v>
      </c>
      <c r="F5123">
        <v>11000</v>
      </c>
      <c r="G5123" s="1">
        <v>5.7000000000000002E-2</v>
      </c>
      <c r="H5123" s="1">
        <v>5.6899999999999999E-2</v>
      </c>
      <c r="I5123" s="1">
        <v>5.6899999999999999E-2</v>
      </c>
      <c r="J5123" s="1">
        <v>5.6099999999999997E-2</v>
      </c>
    </row>
    <row r="5124" spans="1:10" x14ac:dyDescent="0.2">
      <c r="A5124" t="str">
        <f>"10/11/2003"</f>
        <v>10/11/2003</v>
      </c>
      <c r="B5124">
        <v>1</v>
      </c>
      <c r="C5124">
        <v>11000</v>
      </c>
      <c r="D5124">
        <v>185616</v>
      </c>
      <c r="E5124">
        <v>11000</v>
      </c>
      <c r="F5124">
        <v>11000</v>
      </c>
      <c r="G5124" s="1">
        <v>5.7000000000000002E-2</v>
      </c>
      <c r="H5124" s="1">
        <v>5.6899999999999999E-2</v>
      </c>
      <c r="I5124" s="1">
        <v>5.6899999999999999E-2</v>
      </c>
      <c r="J5124" s="1">
        <v>5.4899999999999997E-2</v>
      </c>
    </row>
    <row r="5125" spans="1:10" x14ac:dyDescent="0.2">
      <c r="A5125" t="str">
        <f>"09/11/2003"</f>
        <v>09/11/2003</v>
      </c>
      <c r="B5125">
        <v>1</v>
      </c>
      <c r="C5125">
        <v>11000</v>
      </c>
      <c r="D5125">
        <v>172915</v>
      </c>
      <c r="E5125">
        <v>11000</v>
      </c>
      <c r="F5125">
        <v>11000</v>
      </c>
      <c r="G5125" s="1">
        <v>5.7000000000000002E-2</v>
      </c>
      <c r="H5125" s="1">
        <v>5.6899999999999999E-2</v>
      </c>
      <c r="I5125" s="1">
        <v>5.6899999999999999E-2</v>
      </c>
      <c r="J5125" s="1">
        <v>5.8900000000000001E-2</v>
      </c>
    </row>
    <row r="5126" spans="1:10" x14ac:dyDescent="0.2">
      <c r="A5126" t="str">
        <f>"06/11/2003"</f>
        <v>06/11/2003</v>
      </c>
      <c r="B5126">
        <v>3</v>
      </c>
      <c r="C5126">
        <v>11000</v>
      </c>
      <c r="D5126">
        <v>157514</v>
      </c>
      <c r="E5126">
        <v>11000</v>
      </c>
      <c r="F5126">
        <v>11000</v>
      </c>
      <c r="G5126" s="1">
        <v>5.7000000000000002E-2</v>
      </c>
      <c r="H5126" s="1">
        <v>5.6899999999999999E-2</v>
      </c>
      <c r="I5126" s="1">
        <v>5.6899999999999999E-2</v>
      </c>
      <c r="J5126" s="1">
        <v>6.5000000000000002E-2</v>
      </c>
    </row>
    <row r="5127" spans="1:10" x14ac:dyDescent="0.2">
      <c r="A5127" t="str">
        <f>"05/11/2003"</f>
        <v>05/11/2003</v>
      </c>
      <c r="B5127">
        <v>1</v>
      </c>
      <c r="C5127">
        <v>15000</v>
      </c>
      <c r="D5127">
        <v>165760</v>
      </c>
      <c r="E5127">
        <v>15000</v>
      </c>
      <c r="F5127">
        <v>15000</v>
      </c>
      <c r="G5127" s="1">
        <v>5.7000000000000002E-2</v>
      </c>
      <c r="H5127" s="1">
        <v>5.7000000000000002E-2</v>
      </c>
      <c r="I5127" s="1">
        <v>5.7000000000000002E-2</v>
      </c>
      <c r="J5127" s="1">
        <v>9.0200000000000002E-2</v>
      </c>
    </row>
    <row r="5128" spans="1:10" x14ac:dyDescent="0.2">
      <c r="A5128" t="str">
        <f>"04/11/2003"</f>
        <v>04/11/2003</v>
      </c>
      <c r="B5128">
        <v>1</v>
      </c>
      <c r="C5128">
        <v>14000</v>
      </c>
      <c r="D5128">
        <v>159061</v>
      </c>
      <c r="E5128">
        <v>14000</v>
      </c>
      <c r="F5128">
        <v>14000</v>
      </c>
      <c r="G5128" s="1">
        <v>5.7000000000000002E-2</v>
      </c>
      <c r="H5128" s="1">
        <v>5.7000000000000002E-2</v>
      </c>
      <c r="I5128" s="1">
        <v>5.7000000000000002E-2</v>
      </c>
      <c r="J5128" s="1">
        <v>8.77E-2</v>
      </c>
    </row>
    <row r="5129" spans="1:10" x14ac:dyDescent="0.2">
      <c r="A5129" t="str">
        <f>"03/11/2003"</f>
        <v>03/11/2003</v>
      </c>
      <c r="B5129">
        <v>1</v>
      </c>
      <c r="C5129">
        <v>13000</v>
      </c>
      <c r="D5129">
        <v>162393</v>
      </c>
      <c r="E5129">
        <v>13000</v>
      </c>
      <c r="F5129">
        <v>13000</v>
      </c>
      <c r="G5129" s="1">
        <v>5.7000000000000002E-2</v>
      </c>
      <c r="H5129" s="1">
        <v>5.7000000000000002E-2</v>
      </c>
      <c r="I5129" s="1">
        <v>5.7000000000000002E-2</v>
      </c>
      <c r="J5129" s="1">
        <v>7.9699999999999993E-2</v>
      </c>
    </row>
    <row r="5130" spans="1:10" x14ac:dyDescent="0.2">
      <c r="A5130" t="str">
        <f>"02/11/2003"</f>
        <v>02/11/2003</v>
      </c>
      <c r="B5130">
        <v>1</v>
      </c>
      <c r="C5130">
        <v>13000</v>
      </c>
      <c r="D5130">
        <v>23832</v>
      </c>
      <c r="E5130">
        <v>13000</v>
      </c>
      <c r="F5130">
        <v>13000</v>
      </c>
      <c r="G5130" s="1">
        <v>5.7000000000000002E-2</v>
      </c>
      <c r="H5130" s="1">
        <v>5.7000000000000002E-2</v>
      </c>
      <c r="I5130" s="1">
        <v>5.7000000000000002E-2</v>
      </c>
      <c r="J5130" s="1">
        <v>0.54430000000000001</v>
      </c>
    </row>
    <row r="5131" spans="1:10" x14ac:dyDescent="0.2">
      <c r="A5131" t="str">
        <f>"30/10/2003"</f>
        <v>30/10/2003</v>
      </c>
      <c r="B5131">
        <v>3</v>
      </c>
      <c r="C5131">
        <v>8500</v>
      </c>
      <c r="D5131">
        <v>15881</v>
      </c>
      <c r="E5131">
        <v>8500</v>
      </c>
      <c r="F5131">
        <v>8500</v>
      </c>
      <c r="G5131" s="1">
        <v>5.7000000000000002E-2</v>
      </c>
      <c r="H5131" s="1">
        <v>5.7000000000000002E-2</v>
      </c>
      <c r="I5131" s="1">
        <v>5.7000000000000002E-2</v>
      </c>
      <c r="J5131" s="1">
        <v>0.53339999999999999</v>
      </c>
    </row>
    <row r="5132" spans="1:10" x14ac:dyDescent="0.2">
      <c r="A5132" t="str">
        <f>"29/10/2003"</f>
        <v>29/10/2003</v>
      </c>
      <c r="B5132">
        <v>1</v>
      </c>
      <c r="C5132">
        <v>9000</v>
      </c>
      <c r="D5132">
        <v>7972</v>
      </c>
      <c r="E5132">
        <v>7972</v>
      </c>
      <c r="F5132">
        <v>7972</v>
      </c>
      <c r="G5132" s="1">
        <v>6.2E-2</v>
      </c>
      <c r="H5132" s="1">
        <v>6.2E-2</v>
      </c>
      <c r="I5132" s="1">
        <v>6.2E-2</v>
      </c>
      <c r="J5132" s="1">
        <v>1</v>
      </c>
    </row>
    <row r="5133" spans="1:10" x14ac:dyDescent="0.2">
      <c r="A5133" t="str">
        <f>"28/10/2003"</f>
        <v>28/10/2003</v>
      </c>
      <c r="B5133">
        <v>1</v>
      </c>
      <c r="C5133">
        <v>9500</v>
      </c>
      <c r="D5133">
        <v>77141</v>
      </c>
      <c r="E5133">
        <v>9500</v>
      </c>
      <c r="F5133">
        <v>9500</v>
      </c>
      <c r="G5133" s="1">
        <v>6.2E-2</v>
      </c>
      <c r="H5133" s="1">
        <v>6.1800000000000001E-2</v>
      </c>
      <c r="I5133" s="1">
        <v>6.1800000000000001E-2</v>
      </c>
      <c r="J5133" s="1">
        <v>9.9099999999999994E-2</v>
      </c>
    </row>
    <row r="5134" spans="1:10" x14ac:dyDescent="0.2">
      <c r="A5134" t="str">
        <f>"27/10/2003"</f>
        <v>27/10/2003</v>
      </c>
      <c r="B5134">
        <v>1</v>
      </c>
      <c r="C5134">
        <v>7000</v>
      </c>
      <c r="D5134">
        <v>100904</v>
      </c>
      <c r="E5134">
        <v>7000</v>
      </c>
      <c r="F5134">
        <v>7000</v>
      </c>
      <c r="G5134" s="1">
        <v>6.2E-2</v>
      </c>
      <c r="H5134" s="1">
        <v>6.1699999999999998E-2</v>
      </c>
      <c r="I5134" s="1">
        <v>6.1699999999999998E-2</v>
      </c>
      <c r="J5134" s="1">
        <v>5.2400000000000002E-2</v>
      </c>
    </row>
    <row r="5135" spans="1:10" x14ac:dyDescent="0.2">
      <c r="A5135" t="str">
        <f>"26/10/2003"</f>
        <v>26/10/2003</v>
      </c>
      <c r="B5135">
        <v>1</v>
      </c>
      <c r="C5135">
        <v>10000</v>
      </c>
      <c r="D5135">
        <v>127008</v>
      </c>
      <c r="E5135">
        <v>10000</v>
      </c>
      <c r="F5135">
        <v>10000</v>
      </c>
      <c r="G5135" s="1">
        <v>6.2E-2</v>
      </c>
      <c r="H5135" s="1">
        <v>6.1899999999999997E-2</v>
      </c>
      <c r="I5135" s="1">
        <v>6.1899999999999997E-2</v>
      </c>
      <c r="J5135" s="1">
        <v>6.9099999999999995E-2</v>
      </c>
    </row>
    <row r="5136" spans="1:10" x14ac:dyDescent="0.2">
      <c r="A5136" t="str">
        <f>"23/10/2003"</f>
        <v>23/10/2003</v>
      </c>
      <c r="B5136">
        <v>3</v>
      </c>
      <c r="C5136">
        <v>9000</v>
      </c>
      <c r="D5136">
        <v>147560</v>
      </c>
      <c r="E5136">
        <v>9000</v>
      </c>
      <c r="F5136">
        <v>9000</v>
      </c>
      <c r="G5136" s="1">
        <v>6.2E-2</v>
      </c>
      <c r="H5136" s="1">
        <v>6.1899999999999997E-2</v>
      </c>
      <c r="I5136" s="1">
        <v>6.1899999999999997E-2</v>
      </c>
      <c r="J5136" s="1">
        <v>5.5800000000000002E-2</v>
      </c>
    </row>
    <row r="5137" spans="1:10" x14ac:dyDescent="0.2">
      <c r="A5137" t="str">
        <f>"22/10/2003"</f>
        <v>22/10/2003</v>
      </c>
      <c r="B5137">
        <v>1</v>
      </c>
      <c r="C5137">
        <v>5500</v>
      </c>
      <c r="D5137">
        <v>96262</v>
      </c>
      <c r="E5137">
        <v>5500</v>
      </c>
      <c r="F5137">
        <v>5500</v>
      </c>
      <c r="G5137" s="1">
        <v>6.2E-2</v>
      </c>
      <c r="H5137" s="1">
        <v>6.1899999999999997E-2</v>
      </c>
      <c r="I5137" s="1">
        <v>6.1899999999999997E-2</v>
      </c>
      <c r="J5137" s="1">
        <v>5.4100000000000002E-2</v>
      </c>
    </row>
    <row r="5138" spans="1:10" x14ac:dyDescent="0.2">
      <c r="A5138" t="str">
        <f>"21/10/2003"</f>
        <v>21/10/2003</v>
      </c>
      <c r="B5138">
        <v>1</v>
      </c>
      <c r="C5138">
        <v>10000</v>
      </c>
      <c r="D5138">
        <v>178264</v>
      </c>
      <c r="E5138">
        <v>10000</v>
      </c>
      <c r="F5138">
        <v>10000</v>
      </c>
      <c r="G5138" s="1">
        <v>6.2E-2</v>
      </c>
      <c r="H5138" s="1">
        <v>6.2E-2</v>
      </c>
      <c r="I5138" s="1">
        <v>6.2E-2</v>
      </c>
      <c r="J5138" s="1">
        <v>5.4199999999999998E-2</v>
      </c>
    </row>
    <row r="5139" spans="1:10" x14ac:dyDescent="0.2">
      <c r="A5139" t="str">
        <f>"20/10/2003"</f>
        <v>20/10/2003</v>
      </c>
      <c r="B5139">
        <v>1</v>
      </c>
      <c r="C5139">
        <v>10000</v>
      </c>
      <c r="D5139">
        <v>167363</v>
      </c>
      <c r="E5139">
        <v>10000</v>
      </c>
      <c r="F5139">
        <v>10000</v>
      </c>
      <c r="G5139" s="1">
        <v>6.2E-2</v>
      </c>
      <c r="H5139" s="1">
        <v>6.2E-2</v>
      </c>
      <c r="I5139" s="1">
        <v>6.2E-2</v>
      </c>
      <c r="J5139" s="1">
        <v>5.7700000000000001E-2</v>
      </c>
    </row>
    <row r="5140" spans="1:10" x14ac:dyDescent="0.2">
      <c r="A5140" t="str">
        <f>"19/10/2003"</f>
        <v>19/10/2003</v>
      </c>
      <c r="B5140">
        <v>1</v>
      </c>
      <c r="C5140">
        <v>11000</v>
      </c>
      <c r="D5140">
        <v>173713</v>
      </c>
      <c r="E5140">
        <v>11000</v>
      </c>
      <c r="F5140">
        <v>11000</v>
      </c>
      <c r="G5140" s="1">
        <v>6.2E-2</v>
      </c>
      <c r="H5140" s="1">
        <v>6.2E-2</v>
      </c>
      <c r="I5140" s="1">
        <v>6.2E-2</v>
      </c>
      <c r="J5140" s="1">
        <v>6.1400000000000003E-2</v>
      </c>
    </row>
    <row r="5141" spans="1:10" x14ac:dyDescent="0.2">
      <c r="A5141" t="str">
        <f>"16/10/2003"</f>
        <v>16/10/2003</v>
      </c>
      <c r="B5141">
        <v>3</v>
      </c>
      <c r="C5141">
        <v>11500</v>
      </c>
      <c r="D5141">
        <v>177263</v>
      </c>
      <c r="E5141">
        <v>11500</v>
      </c>
      <c r="F5141">
        <v>11500</v>
      </c>
      <c r="G5141" s="1">
        <v>6.2E-2</v>
      </c>
      <c r="H5141" s="1">
        <v>6.2E-2</v>
      </c>
      <c r="I5141" s="1">
        <v>6.2E-2</v>
      </c>
      <c r="J5141" s="1">
        <v>6.1899999999999997E-2</v>
      </c>
    </row>
    <row r="5142" spans="1:10" x14ac:dyDescent="0.2">
      <c r="A5142" t="str">
        <f>"15/10/2003"</f>
        <v>15/10/2003</v>
      </c>
      <c r="B5142">
        <v>1</v>
      </c>
      <c r="C5142">
        <v>12000</v>
      </c>
      <c r="D5142">
        <v>196362</v>
      </c>
      <c r="E5142">
        <v>12000</v>
      </c>
      <c r="F5142">
        <v>12000</v>
      </c>
      <c r="G5142" s="1">
        <v>6.2E-2</v>
      </c>
      <c r="H5142" s="1">
        <v>6.2E-2</v>
      </c>
      <c r="I5142" s="1">
        <v>6.2E-2</v>
      </c>
      <c r="J5142" s="1">
        <v>5.96E-2</v>
      </c>
    </row>
    <row r="5143" spans="1:10" x14ac:dyDescent="0.2">
      <c r="A5143" t="str">
        <f>"14/10/2003"</f>
        <v>14/10/2003</v>
      </c>
      <c r="B5143">
        <v>1</v>
      </c>
      <c r="C5143">
        <v>12000</v>
      </c>
      <c r="D5143">
        <v>210263</v>
      </c>
      <c r="E5143">
        <v>12000</v>
      </c>
      <c r="F5143">
        <v>12000</v>
      </c>
      <c r="G5143" s="1">
        <v>6.2E-2</v>
      </c>
      <c r="H5143" s="1">
        <v>6.2E-2</v>
      </c>
      <c r="I5143" s="1">
        <v>6.2E-2</v>
      </c>
      <c r="J5143" s="1">
        <v>5.45E-2</v>
      </c>
    </row>
    <row r="5144" spans="1:10" x14ac:dyDescent="0.2">
      <c r="A5144" t="str">
        <f>"13/10/2003"</f>
        <v>13/10/2003</v>
      </c>
      <c r="B5144">
        <v>1</v>
      </c>
      <c r="C5144">
        <v>11500</v>
      </c>
      <c r="D5144">
        <v>233065</v>
      </c>
      <c r="E5144">
        <v>11500</v>
      </c>
      <c r="F5144">
        <v>11500</v>
      </c>
      <c r="G5144" s="1">
        <v>6.2E-2</v>
      </c>
      <c r="H5144" s="1">
        <v>6.2E-2</v>
      </c>
      <c r="I5144" s="1">
        <v>6.2E-2</v>
      </c>
      <c r="J5144" s="1">
        <v>4.7E-2</v>
      </c>
    </row>
    <row r="5145" spans="1:10" x14ac:dyDescent="0.2">
      <c r="A5145" t="str">
        <f>"12/10/2003"</f>
        <v>12/10/2003</v>
      </c>
      <c r="B5145">
        <v>1</v>
      </c>
      <c r="C5145">
        <v>10500</v>
      </c>
      <c r="D5145">
        <v>202214</v>
      </c>
      <c r="E5145">
        <v>10500</v>
      </c>
      <c r="F5145">
        <v>10500</v>
      </c>
      <c r="G5145" s="1">
        <v>6.2E-2</v>
      </c>
      <c r="H5145" s="1">
        <v>6.1899999999999997E-2</v>
      </c>
      <c r="I5145" s="1">
        <v>6.1899999999999997E-2</v>
      </c>
      <c r="J5145" s="1">
        <v>4.9299999999999997E-2</v>
      </c>
    </row>
    <row r="5146" spans="1:10" x14ac:dyDescent="0.2">
      <c r="A5146" t="str">
        <f>"09/10/2003"</f>
        <v>09/10/2003</v>
      </c>
      <c r="B5146">
        <v>3</v>
      </c>
      <c r="C5146">
        <v>10500</v>
      </c>
      <c r="D5146">
        <v>194964</v>
      </c>
      <c r="E5146">
        <v>10500</v>
      </c>
      <c r="F5146">
        <v>10500</v>
      </c>
      <c r="G5146" s="1">
        <v>6.2E-2</v>
      </c>
      <c r="H5146" s="1">
        <v>6.1899999999999997E-2</v>
      </c>
      <c r="I5146" s="1">
        <v>6.1899999999999997E-2</v>
      </c>
      <c r="J5146" s="1">
        <v>5.11E-2</v>
      </c>
    </row>
    <row r="5147" spans="1:10" x14ac:dyDescent="0.2">
      <c r="A5147" t="str">
        <f>"08/10/2003"</f>
        <v>08/10/2003</v>
      </c>
      <c r="B5147">
        <v>1</v>
      </c>
      <c r="C5147">
        <v>11500</v>
      </c>
      <c r="D5147">
        <v>191764</v>
      </c>
      <c r="E5147">
        <v>11500</v>
      </c>
      <c r="F5147">
        <v>11500</v>
      </c>
      <c r="G5147" s="1">
        <v>6.2E-2</v>
      </c>
      <c r="H5147" s="1">
        <v>6.2E-2</v>
      </c>
      <c r="I5147" s="1">
        <v>6.2E-2</v>
      </c>
      <c r="J5147" s="1">
        <v>5.7200000000000001E-2</v>
      </c>
    </row>
    <row r="5148" spans="1:10" x14ac:dyDescent="0.2">
      <c r="A5148" t="str">
        <f>"07/10/2003"</f>
        <v>07/10/2003</v>
      </c>
      <c r="B5148">
        <v>1</v>
      </c>
      <c r="C5148">
        <v>12500</v>
      </c>
      <c r="D5148">
        <v>196861</v>
      </c>
      <c r="E5148">
        <v>12500</v>
      </c>
      <c r="F5148">
        <v>12500</v>
      </c>
      <c r="G5148" s="1">
        <v>6.2E-2</v>
      </c>
      <c r="H5148" s="1">
        <v>6.2E-2</v>
      </c>
      <c r="I5148" s="1">
        <v>6.2E-2</v>
      </c>
      <c r="J5148" s="1">
        <v>6.08E-2</v>
      </c>
    </row>
    <row r="5149" spans="1:10" x14ac:dyDescent="0.2">
      <c r="A5149" t="str">
        <f>"02/10/2003"</f>
        <v>02/10/2003</v>
      </c>
      <c r="B5149">
        <v>5</v>
      </c>
      <c r="C5149">
        <v>12500</v>
      </c>
      <c r="D5149">
        <v>179459</v>
      </c>
      <c r="E5149">
        <v>12500</v>
      </c>
      <c r="F5149">
        <v>12500</v>
      </c>
      <c r="G5149" s="1">
        <v>6.2E-2</v>
      </c>
      <c r="H5149" s="1">
        <v>6.2E-2</v>
      </c>
      <c r="I5149" s="1">
        <v>6.2E-2</v>
      </c>
      <c r="J5149" s="1">
        <v>6.6699999999999995E-2</v>
      </c>
    </row>
    <row r="5150" spans="1:10" x14ac:dyDescent="0.2">
      <c r="A5150" t="str">
        <f>"01/10/2003"</f>
        <v>01/10/2003</v>
      </c>
      <c r="B5150">
        <v>1</v>
      </c>
      <c r="C5150">
        <v>18000</v>
      </c>
      <c r="D5150">
        <v>234965</v>
      </c>
      <c r="E5150">
        <v>18000</v>
      </c>
      <c r="F5150">
        <v>18000</v>
      </c>
      <c r="G5150" s="1">
        <v>6.2E-2</v>
      </c>
      <c r="H5150" s="1">
        <v>6.2E-2</v>
      </c>
      <c r="I5150" s="1">
        <v>6.2E-2</v>
      </c>
      <c r="J5150" s="1">
        <v>7.6399999999999996E-2</v>
      </c>
    </row>
    <row r="5151" spans="1:10" x14ac:dyDescent="0.2">
      <c r="A5151" t="str">
        <f>"30/09/2003"</f>
        <v>30/09/2003</v>
      </c>
      <c r="B5151">
        <v>1</v>
      </c>
      <c r="C5151">
        <v>11500</v>
      </c>
      <c r="D5151">
        <v>12105</v>
      </c>
      <c r="E5151">
        <v>11500</v>
      </c>
      <c r="F5151">
        <v>11500</v>
      </c>
      <c r="G5151" s="1">
        <v>6.2E-2</v>
      </c>
      <c r="H5151" s="1">
        <v>6.1899999999999997E-2</v>
      </c>
      <c r="I5151" s="1">
        <v>6.1899999999999997E-2</v>
      </c>
      <c r="J5151" s="1">
        <v>0.94310000000000005</v>
      </c>
    </row>
    <row r="5152" spans="1:10" x14ac:dyDescent="0.2">
      <c r="A5152" t="str">
        <f>"29/09/2003"</f>
        <v>29/09/2003</v>
      </c>
      <c r="B5152">
        <v>1</v>
      </c>
      <c r="C5152">
        <v>10000</v>
      </c>
      <c r="D5152">
        <v>148869</v>
      </c>
      <c r="E5152">
        <v>10000</v>
      </c>
      <c r="F5152">
        <v>10000</v>
      </c>
      <c r="G5152" s="1">
        <v>6.2E-2</v>
      </c>
      <c r="H5152" s="1">
        <v>6.1899999999999997E-2</v>
      </c>
      <c r="I5152" s="1">
        <v>6.1899999999999997E-2</v>
      </c>
      <c r="J5152" s="1">
        <v>6.3600000000000004E-2</v>
      </c>
    </row>
    <row r="5153" spans="1:10" x14ac:dyDescent="0.2">
      <c r="A5153" t="str">
        <f>"25/09/2003"</f>
        <v>25/09/2003</v>
      </c>
      <c r="B5153">
        <v>4</v>
      </c>
      <c r="C5153">
        <v>10000</v>
      </c>
      <c r="D5153">
        <v>146745</v>
      </c>
      <c r="E5153">
        <v>10000</v>
      </c>
      <c r="F5153">
        <v>10000</v>
      </c>
      <c r="G5153" s="1">
        <v>6.2E-2</v>
      </c>
      <c r="H5153" s="1">
        <v>6.2E-2</v>
      </c>
      <c r="I5153" s="1">
        <v>6.2E-2</v>
      </c>
      <c r="J5153" s="1">
        <v>6.5799999999999997E-2</v>
      </c>
    </row>
    <row r="5154" spans="1:10" x14ac:dyDescent="0.2">
      <c r="A5154" t="str">
        <f>"24/09/2003"</f>
        <v>24/09/2003</v>
      </c>
      <c r="B5154">
        <v>1</v>
      </c>
      <c r="C5154">
        <v>11200</v>
      </c>
      <c r="D5154">
        <v>10380</v>
      </c>
      <c r="E5154">
        <v>10380</v>
      </c>
      <c r="F5154">
        <v>10380</v>
      </c>
      <c r="G5154" s="1">
        <v>6.6000000000000003E-2</v>
      </c>
      <c r="H5154" s="1">
        <v>6.6000000000000003E-2</v>
      </c>
      <c r="I5154" s="1">
        <v>6.6000000000000003E-2</v>
      </c>
      <c r="J5154" s="1">
        <v>1</v>
      </c>
    </row>
    <row r="5155" spans="1:10" x14ac:dyDescent="0.2">
      <c r="A5155" t="str">
        <f>"23/09/2003"</f>
        <v>23/09/2003</v>
      </c>
      <c r="B5155">
        <v>1</v>
      </c>
      <c r="C5155">
        <v>11000</v>
      </c>
      <c r="D5155">
        <v>97464</v>
      </c>
      <c r="E5155">
        <v>11000</v>
      </c>
      <c r="F5155">
        <v>11000</v>
      </c>
      <c r="G5155" s="1">
        <v>6.6000000000000003E-2</v>
      </c>
      <c r="H5155" s="1">
        <v>6.6000000000000003E-2</v>
      </c>
      <c r="I5155" s="1">
        <v>6.6000000000000003E-2</v>
      </c>
      <c r="J5155" s="1">
        <v>0.1123</v>
      </c>
    </row>
    <row r="5156" spans="1:10" x14ac:dyDescent="0.2">
      <c r="A5156" t="str">
        <f>"22/09/2003"</f>
        <v>22/09/2003</v>
      </c>
      <c r="B5156">
        <v>1</v>
      </c>
      <c r="C5156">
        <v>11500</v>
      </c>
      <c r="D5156">
        <v>148464</v>
      </c>
      <c r="E5156">
        <v>11500</v>
      </c>
      <c r="F5156">
        <v>11500</v>
      </c>
      <c r="G5156" s="1">
        <v>6.6000000000000003E-2</v>
      </c>
      <c r="H5156" s="1">
        <v>6.6000000000000003E-2</v>
      </c>
      <c r="I5156" s="1">
        <v>6.6000000000000003E-2</v>
      </c>
      <c r="J5156" s="1">
        <v>7.7100000000000002E-2</v>
      </c>
    </row>
    <row r="5157" spans="1:10" x14ac:dyDescent="0.2">
      <c r="A5157" t="str">
        <f>"21/09/2003"</f>
        <v>21/09/2003</v>
      </c>
      <c r="B5157">
        <v>1</v>
      </c>
      <c r="C5157">
        <v>11500</v>
      </c>
      <c r="D5157">
        <v>137563</v>
      </c>
      <c r="E5157">
        <v>11500</v>
      </c>
      <c r="F5157">
        <v>11500</v>
      </c>
      <c r="G5157" s="1">
        <v>6.6000000000000003E-2</v>
      </c>
      <c r="H5157" s="1">
        <v>6.6000000000000003E-2</v>
      </c>
      <c r="I5157" s="1">
        <v>6.6000000000000003E-2</v>
      </c>
      <c r="J5157" s="1">
        <v>8.3199999999999996E-2</v>
      </c>
    </row>
    <row r="5158" spans="1:10" x14ac:dyDescent="0.2">
      <c r="A5158" t="str">
        <f>"18/09/2003"</f>
        <v>18/09/2003</v>
      </c>
      <c r="B5158">
        <v>3</v>
      </c>
      <c r="C5158">
        <v>10000</v>
      </c>
      <c r="D5158">
        <v>136964</v>
      </c>
      <c r="E5158">
        <v>10000</v>
      </c>
      <c r="F5158">
        <v>10000</v>
      </c>
      <c r="G5158" s="1">
        <v>6.6000000000000003E-2</v>
      </c>
      <c r="H5158" s="1">
        <v>6.6000000000000003E-2</v>
      </c>
      <c r="I5158" s="1">
        <v>6.6000000000000003E-2</v>
      </c>
      <c r="J5158" s="1">
        <v>7.2599999999999998E-2</v>
      </c>
    </row>
    <row r="5159" spans="1:10" x14ac:dyDescent="0.2">
      <c r="A5159" t="str">
        <f>"17/09/2003"</f>
        <v>17/09/2003</v>
      </c>
      <c r="B5159">
        <v>1</v>
      </c>
      <c r="C5159">
        <v>7000</v>
      </c>
      <c r="D5159">
        <v>96464</v>
      </c>
      <c r="E5159">
        <v>7000</v>
      </c>
      <c r="F5159">
        <v>7000</v>
      </c>
      <c r="G5159" s="1">
        <v>6.6000000000000003E-2</v>
      </c>
      <c r="H5159" s="1">
        <v>6.6000000000000003E-2</v>
      </c>
      <c r="I5159" s="1">
        <v>6.6000000000000003E-2</v>
      </c>
      <c r="J5159" s="1">
        <v>7.1999999999999995E-2</v>
      </c>
    </row>
    <row r="5160" spans="1:10" x14ac:dyDescent="0.2">
      <c r="A5160" t="str">
        <f>"16/09/2003"</f>
        <v>16/09/2003</v>
      </c>
      <c r="B5160">
        <v>1</v>
      </c>
      <c r="C5160">
        <v>10500</v>
      </c>
      <c r="D5160">
        <v>151368</v>
      </c>
      <c r="E5160">
        <v>10500</v>
      </c>
      <c r="F5160">
        <v>10500</v>
      </c>
      <c r="G5160" s="1">
        <v>6.6000000000000003E-2</v>
      </c>
      <c r="H5160" s="1">
        <v>6.5100000000000005E-2</v>
      </c>
      <c r="I5160" s="1">
        <v>6.5100000000000005E-2</v>
      </c>
      <c r="J5160" s="1">
        <v>1.01E-2</v>
      </c>
    </row>
    <row r="5161" spans="1:10" x14ac:dyDescent="0.2">
      <c r="A5161" t="str">
        <f>"15/09/2003"</f>
        <v>15/09/2003</v>
      </c>
      <c r="B5161">
        <v>1</v>
      </c>
      <c r="C5161">
        <v>16000</v>
      </c>
      <c r="D5161">
        <v>233266</v>
      </c>
      <c r="E5161">
        <v>16000</v>
      </c>
      <c r="F5161">
        <v>16000</v>
      </c>
      <c r="G5161" s="1">
        <v>6.6000000000000003E-2</v>
      </c>
      <c r="H5161" s="1">
        <v>6.6000000000000003E-2</v>
      </c>
      <c r="I5161" s="1">
        <v>6.6000000000000003E-2</v>
      </c>
      <c r="J5161" s="1">
        <v>6.83E-2</v>
      </c>
    </row>
    <row r="5162" spans="1:10" x14ac:dyDescent="0.2">
      <c r="A5162" t="str">
        <f>"14/09/2003"</f>
        <v>14/09/2003</v>
      </c>
      <c r="B5162">
        <v>1</v>
      </c>
      <c r="C5162">
        <v>17000</v>
      </c>
      <c r="D5162">
        <v>226567</v>
      </c>
      <c r="E5162">
        <v>17000</v>
      </c>
      <c r="F5162">
        <v>17000</v>
      </c>
      <c r="G5162" s="1">
        <v>6.6000000000000003E-2</v>
      </c>
      <c r="H5162" s="1">
        <v>6.6000000000000003E-2</v>
      </c>
      <c r="I5162" s="1">
        <v>6.6000000000000003E-2</v>
      </c>
      <c r="J5162" s="1">
        <v>7.4800000000000005E-2</v>
      </c>
    </row>
    <row r="5163" spans="1:10" x14ac:dyDescent="0.2">
      <c r="A5163" t="str">
        <f>"11/09/2003"</f>
        <v>11/09/2003</v>
      </c>
      <c r="B5163">
        <v>3</v>
      </c>
      <c r="C5163">
        <v>13000</v>
      </c>
      <c r="D5163">
        <v>179967</v>
      </c>
      <c r="E5163">
        <v>13000</v>
      </c>
      <c r="F5163">
        <v>13000</v>
      </c>
      <c r="G5163" s="1">
        <v>6.6000000000000003E-2</v>
      </c>
      <c r="H5163" s="1">
        <v>6.6000000000000003E-2</v>
      </c>
      <c r="I5163" s="1">
        <v>6.6000000000000003E-2</v>
      </c>
      <c r="J5163" s="1">
        <v>7.1900000000000006E-2</v>
      </c>
    </row>
    <row r="5164" spans="1:10" x14ac:dyDescent="0.2">
      <c r="A5164" t="str">
        <f>"10/09/2003"</f>
        <v>10/09/2003</v>
      </c>
      <c r="B5164">
        <v>1</v>
      </c>
      <c r="C5164">
        <v>13000</v>
      </c>
      <c r="D5164">
        <v>169568</v>
      </c>
      <c r="E5164">
        <v>13000</v>
      </c>
      <c r="F5164">
        <v>13000</v>
      </c>
      <c r="G5164" s="1">
        <v>6.6000000000000003E-2</v>
      </c>
      <c r="H5164" s="1">
        <v>6.6000000000000003E-2</v>
      </c>
      <c r="I5164" s="1">
        <v>6.6000000000000003E-2</v>
      </c>
      <c r="J5164" s="1">
        <v>7.6300000000000007E-2</v>
      </c>
    </row>
    <row r="5165" spans="1:10" x14ac:dyDescent="0.2">
      <c r="A5165" t="str">
        <f>"09/09/2003"</f>
        <v>09/09/2003</v>
      </c>
      <c r="B5165">
        <v>1</v>
      </c>
      <c r="C5165">
        <v>13000</v>
      </c>
      <c r="D5165">
        <v>175919</v>
      </c>
      <c r="E5165">
        <v>13000</v>
      </c>
      <c r="F5165">
        <v>13000</v>
      </c>
      <c r="G5165" s="1">
        <v>6.6000000000000003E-2</v>
      </c>
      <c r="H5165" s="1">
        <v>6.6000000000000003E-2</v>
      </c>
      <c r="I5165" s="1">
        <v>6.6000000000000003E-2</v>
      </c>
      <c r="J5165" s="1">
        <v>7.3499999999999996E-2</v>
      </c>
    </row>
    <row r="5166" spans="1:10" x14ac:dyDescent="0.2">
      <c r="A5166" t="str">
        <f>"08/09/2003"</f>
        <v>08/09/2003</v>
      </c>
      <c r="B5166">
        <v>1</v>
      </c>
      <c r="C5166">
        <v>12500</v>
      </c>
      <c r="D5166">
        <v>170769</v>
      </c>
      <c r="E5166">
        <v>12500</v>
      </c>
      <c r="F5166">
        <v>12500</v>
      </c>
      <c r="G5166" s="1">
        <v>6.6000000000000003E-2</v>
      </c>
      <c r="H5166" s="1">
        <v>6.6000000000000003E-2</v>
      </c>
      <c r="I5166" s="1">
        <v>6.6000000000000003E-2</v>
      </c>
      <c r="J5166" s="1">
        <v>7.0099999999999996E-2</v>
      </c>
    </row>
    <row r="5167" spans="1:10" x14ac:dyDescent="0.2">
      <c r="A5167" t="str">
        <f>"07/09/2003"</f>
        <v>07/09/2003</v>
      </c>
      <c r="B5167">
        <v>1</v>
      </c>
      <c r="C5167">
        <v>12000</v>
      </c>
      <c r="D5167">
        <v>168819</v>
      </c>
      <c r="E5167">
        <v>12000</v>
      </c>
      <c r="F5167">
        <v>12000</v>
      </c>
      <c r="G5167" s="1">
        <v>6.6000000000000003E-2</v>
      </c>
      <c r="H5167" s="1">
        <v>6.6000000000000003E-2</v>
      </c>
      <c r="I5167" s="1">
        <v>6.6000000000000003E-2</v>
      </c>
      <c r="J5167" s="1">
        <v>6.9599999999999995E-2</v>
      </c>
    </row>
    <row r="5168" spans="1:10" x14ac:dyDescent="0.2">
      <c r="A5168" t="str">
        <f>"04/09/2003"</f>
        <v>04/09/2003</v>
      </c>
      <c r="B5168">
        <v>3</v>
      </c>
      <c r="C5168">
        <v>12000</v>
      </c>
      <c r="D5168">
        <v>169716</v>
      </c>
      <c r="E5168">
        <v>12000</v>
      </c>
      <c r="F5168">
        <v>12000</v>
      </c>
      <c r="G5168" s="1">
        <v>6.6000000000000003E-2</v>
      </c>
      <c r="H5168" s="1">
        <v>6.6000000000000003E-2</v>
      </c>
      <c r="I5168" s="1">
        <v>6.6000000000000003E-2</v>
      </c>
      <c r="J5168" s="1">
        <v>7.0300000000000001E-2</v>
      </c>
    </row>
    <row r="5169" spans="1:10" x14ac:dyDescent="0.2">
      <c r="A5169" t="str">
        <f>"03/09/2003"</f>
        <v>03/09/2003</v>
      </c>
      <c r="B5169">
        <v>1</v>
      </c>
      <c r="C5169">
        <v>13000</v>
      </c>
      <c r="D5169">
        <v>162518</v>
      </c>
      <c r="E5169">
        <v>13000</v>
      </c>
      <c r="F5169">
        <v>13000</v>
      </c>
      <c r="G5169" s="1">
        <v>6.6000000000000003E-2</v>
      </c>
      <c r="H5169" s="1">
        <v>6.6000000000000003E-2</v>
      </c>
      <c r="I5169" s="1">
        <v>6.6000000000000003E-2</v>
      </c>
      <c r="J5169" s="1">
        <v>7.9600000000000004E-2</v>
      </c>
    </row>
    <row r="5170" spans="1:10" x14ac:dyDescent="0.2">
      <c r="A5170" t="str">
        <f>"02/09/2003"</f>
        <v>02/09/2003</v>
      </c>
      <c r="B5170">
        <v>1</v>
      </c>
      <c r="C5170">
        <v>10000</v>
      </c>
      <c r="D5170">
        <v>171068</v>
      </c>
      <c r="E5170">
        <v>10000</v>
      </c>
      <c r="F5170">
        <v>10000</v>
      </c>
      <c r="G5170" s="1">
        <v>6.6000000000000003E-2</v>
      </c>
      <c r="H5170" s="1">
        <v>6.6000000000000003E-2</v>
      </c>
      <c r="I5170" s="1">
        <v>6.6000000000000003E-2</v>
      </c>
      <c r="J5170" s="1">
        <v>5.8099999999999999E-2</v>
      </c>
    </row>
    <row r="5171" spans="1:10" x14ac:dyDescent="0.2">
      <c r="A5171" t="str">
        <f>"01/09/2003"</f>
        <v>01/09/2003</v>
      </c>
      <c r="B5171">
        <v>1</v>
      </c>
      <c r="C5171">
        <v>11000</v>
      </c>
      <c r="D5171">
        <v>167868</v>
      </c>
      <c r="E5171">
        <v>11000</v>
      </c>
      <c r="F5171">
        <v>11000</v>
      </c>
      <c r="G5171" s="1">
        <v>6.6000000000000003E-2</v>
      </c>
      <c r="H5171" s="1">
        <v>6.6000000000000003E-2</v>
      </c>
      <c r="I5171" s="1">
        <v>6.6000000000000003E-2</v>
      </c>
      <c r="J5171" s="1">
        <v>6.5100000000000005E-2</v>
      </c>
    </row>
    <row r="5172" spans="1:10" x14ac:dyDescent="0.2">
      <c r="A5172" t="str">
        <f>"31/08/2003"</f>
        <v>31/08/2003</v>
      </c>
      <c r="B5172">
        <v>1</v>
      </c>
      <c r="C5172">
        <v>9000</v>
      </c>
      <c r="D5172">
        <v>9747</v>
      </c>
      <c r="E5172">
        <v>9000</v>
      </c>
      <c r="F5172">
        <v>9000</v>
      </c>
      <c r="G5172" s="1">
        <v>6.6000000000000003E-2</v>
      </c>
      <c r="H5172" s="1">
        <v>6.6000000000000003E-2</v>
      </c>
      <c r="I5172" s="1">
        <v>6.6000000000000003E-2</v>
      </c>
      <c r="J5172" s="1">
        <v>0.92279999999999995</v>
      </c>
    </row>
    <row r="5173" spans="1:10" x14ac:dyDescent="0.2">
      <c r="A5173" t="str">
        <f>"28/08/2003"</f>
        <v>28/08/2003</v>
      </c>
      <c r="B5173">
        <v>3</v>
      </c>
      <c r="C5173">
        <v>8000</v>
      </c>
      <c r="D5173">
        <v>118966</v>
      </c>
      <c r="E5173">
        <v>8000</v>
      </c>
      <c r="F5173">
        <v>8000</v>
      </c>
      <c r="G5173" s="1">
        <v>6.6000000000000003E-2</v>
      </c>
      <c r="H5173" s="1">
        <v>6.6000000000000003E-2</v>
      </c>
      <c r="I5173" s="1">
        <v>6.6000000000000003E-2</v>
      </c>
      <c r="J5173" s="1">
        <v>6.6699999999999995E-2</v>
      </c>
    </row>
    <row r="5174" spans="1:10" x14ac:dyDescent="0.2">
      <c r="A5174" t="str">
        <f>"27/08/2003"</f>
        <v>27/08/2003</v>
      </c>
      <c r="B5174">
        <v>1</v>
      </c>
      <c r="C5174">
        <v>8800</v>
      </c>
      <c r="D5174">
        <v>8451</v>
      </c>
      <c r="E5174">
        <v>8451</v>
      </c>
      <c r="F5174">
        <v>8451</v>
      </c>
      <c r="G5174" s="1">
        <v>7.0999999999999994E-2</v>
      </c>
      <c r="H5174" s="1">
        <v>7.0999999999999994E-2</v>
      </c>
      <c r="I5174" s="1">
        <v>7.0999999999999994E-2</v>
      </c>
      <c r="J5174" s="1">
        <v>1</v>
      </c>
    </row>
    <row r="5175" spans="1:10" x14ac:dyDescent="0.2">
      <c r="A5175" t="str">
        <f>"26/08/2003"</f>
        <v>26/08/2003</v>
      </c>
      <c r="B5175">
        <v>1</v>
      </c>
      <c r="C5175">
        <v>8500</v>
      </c>
      <c r="D5175">
        <v>76432</v>
      </c>
      <c r="E5175">
        <v>8500</v>
      </c>
      <c r="F5175">
        <v>8500</v>
      </c>
      <c r="G5175" s="1">
        <v>7.0999999999999994E-2</v>
      </c>
      <c r="H5175" s="1">
        <v>7.0999999999999994E-2</v>
      </c>
      <c r="I5175" s="1">
        <v>7.0999999999999994E-2</v>
      </c>
      <c r="J5175" s="1">
        <v>0.1105</v>
      </c>
    </row>
    <row r="5176" spans="1:10" x14ac:dyDescent="0.2">
      <c r="A5176" t="str">
        <f>"25/08/2003"</f>
        <v>25/08/2003</v>
      </c>
      <c r="B5176">
        <v>1</v>
      </c>
      <c r="C5176">
        <v>8500</v>
      </c>
      <c r="D5176">
        <v>96404</v>
      </c>
      <c r="E5176">
        <v>8500</v>
      </c>
      <c r="F5176">
        <v>8500</v>
      </c>
      <c r="G5176" s="1">
        <v>7.0999999999999994E-2</v>
      </c>
      <c r="H5176" s="1">
        <v>7.0999999999999994E-2</v>
      </c>
      <c r="I5176" s="1">
        <v>7.0999999999999994E-2</v>
      </c>
      <c r="J5176" s="1">
        <v>8.5699999999999998E-2</v>
      </c>
    </row>
    <row r="5177" spans="1:10" x14ac:dyDescent="0.2">
      <c r="A5177" t="str">
        <f>"24/08/2003"</f>
        <v>24/08/2003</v>
      </c>
      <c r="B5177">
        <v>1</v>
      </c>
      <c r="C5177">
        <v>9000</v>
      </c>
      <c r="D5177">
        <v>117174</v>
      </c>
      <c r="E5177">
        <v>9000</v>
      </c>
      <c r="F5177">
        <v>9000</v>
      </c>
      <c r="G5177" s="1">
        <v>7.0999999999999994E-2</v>
      </c>
      <c r="H5177" s="1">
        <v>7.0900000000000005E-2</v>
      </c>
      <c r="I5177" s="1">
        <v>7.0900000000000005E-2</v>
      </c>
      <c r="J5177" s="1">
        <v>7.3099999999999998E-2</v>
      </c>
    </row>
    <row r="5178" spans="1:10" x14ac:dyDescent="0.2">
      <c r="A5178" t="str">
        <f>"21/08/2003"</f>
        <v>21/08/2003</v>
      </c>
      <c r="B5178">
        <v>3</v>
      </c>
      <c r="C5178">
        <v>9500</v>
      </c>
      <c r="D5178">
        <v>134990</v>
      </c>
      <c r="E5178">
        <v>9500</v>
      </c>
      <c r="F5178">
        <v>9500</v>
      </c>
      <c r="G5178" s="1">
        <v>7.0999999999999994E-2</v>
      </c>
      <c r="H5178" s="1">
        <v>7.0900000000000005E-2</v>
      </c>
      <c r="I5178" s="1">
        <v>7.0900000000000005E-2</v>
      </c>
      <c r="J5178" s="1">
        <v>6.6500000000000004E-2</v>
      </c>
    </row>
    <row r="5179" spans="1:10" x14ac:dyDescent="0.2">
      <c r="A5179" t="str">
        <f>"20/08/2003"</f>
        <v>20/08/2003</v>
      </c>
      <c r="B5179">
        <v>1</v>
      </c>
      <c r="C5179">
        <v>8000</v>
      </c>
      <c r="D5179">
        <v>120964</v>
      </c>
      <c r="E5179">
        <v>8000</v>
      </c>
      <c r="F5179">
        <v>8000</v>
      </c>
      <c r="G5179" s="1">
        <v>7.0999999999999994E-2</v>
      </c>
      <c r="H5179" s="1">
        <v>7.0999999999999994E-2</v>
      </c>
      <c r="I5179" s="1">
        <v>7.0999999999999994E-2</v>
      </c>
      <c r="J5179" s="1">
        <v>6.5600000000000006E-2</v>
      </c>
    </row>
    <row r="5180" spans="1:10" x14ac:dyDescent="0.2">
      <c r="A5180" t="str">
        <f>"19/08/2003"</f>
        <v>19/08/2003</v>
      </c>
      <c r="B5180">
        <v>1</v>
      </c>
      <c r="C5180">
        <v>8500</v>
      </c>
      <c r="D5180">
        <v>139964</v>
      </c>
      <c r="E5180">
        <v>8500</v>
      </c>
      <c r="F5180">
        <v>8500</v>
      </c>
      <c r="G5180" s="1">
        <v>7.0999999999999994E-2</v>
      </c>
      <c r="H5180" s="1">
        <v>7.0900000000000005E-2</v>
      </c>
      <c r="I5180" s="1">
        <v>7.0900000000000005E-2</v>
      </c>
      <c r="J5180" s="1">
        <v>5.7599999999999998E-2</v>
      </c>
    </row>
    <row r="5181" spans="1:10" x14ac:dyDescent="0.2">
      <c r="A5181" t="str">
        <f>"18/08/2003"</f>
        <v>18/08/2003</v>
      </c>
      <c r="B5181">
        <v>1</v>
      </c>
      <c r="C5181">
        <v>9000</v>
      </c>
      <c r="D5181">
        <v>143663</v>
      </c>
      <c r="E5181">
        <v>9000</v>
      </c>
      <c r="F5181">
        <v>9000</v>
      </c>
      <c r="G5181" s="1">
        <v>7.0999999999999994E-2</v>
      </c>
      <c r="H5181" s="1">
        <v>7.0900000000000005E-2</v>
      </c>
      <c r="I5181" s="1">
        <v>7.0900000000000005E-2</v>
      </c>
      <c r="J5181" s="1">
        <v>5.8999999999999997E-2</v>
      </c>
    </row>
    <row r="5182" spans="1:10" x14ac:dyDescent="0.2">
      <c r="A5182" t="str">
        <f>"17/08/2003"</f>
        <v>17/08/2003</v>
      </c>
      <c r="B5182">
        <v>1</v>
      </c>
      <c r="C5182">
        <v>10000</v>
      </c>
      <c r="D5182">
        <v>145263</v>
      </c>
      <c r="E5182">
        <v>10000</v>
      </c>
      <c r="F5182">
        <v>10000</v>
      </c>
      <c r="G5182" s="1">
        <v>7.0999999999999994E-2</v>
      </c>
      <c r="H5182" s="1">
        <v>7.0999999999999994E-2</v>
      </c>
      <c r="I5182" s="1">
        <v>7.0999999999999994E-2</v>
      </c>
      <c r="J5182" s="1">
        <v>6.6799999999999998E-2</v>
      </c>
    </row>
    <row r="5183" spans="1:10" x14ac:dyDescent="0.2">
      <c r="A5183" t="str">
        <f>"14/08/2003"</f>
        <v>14/08/2003</v>
      </c>
      <c r="B5183">
        <v>3</v>
      </c>
      <c r="C5183">
        <v>15000</v>
      </c>
      <c r="D5183">
        <v>207059</v>
      </c>
      <c r="E5183">
        <v>15000</v>
      </c>
      <c r="F5183">
        <v>15000</v>
      </c>
      <c r="G5183" s="1">
        <v>7.0999999999999994E-2</v>
      </c>
      <c r="H5183" s="1">
        <v>7.0999999999999994E-2</v>
      </c>
      <c r="I5183" s="1">
        <v>7.0999999999999994E-2</v>
      </c>
      <c r="J5183" s="1">
        <v>6.9900000000000004E-2</v>
      </c>
    </row>
    <row r="5184" spans="1:10" x14ac:dyDescent="0.2">
      <c r="A5184" t="str">
        <f>"13/08/2003"</f>
        <v>13/08/2003</v>
      </c>
      <c r="B5184">
        <v>1</v>
      </c>
      <c r="C5184">
        <v>12000</v>
      </c>
      <c r="D5184">
        <v>205064</v>
      </c>
      <c r="E5184">
        <v>12000</v>
      </c>
      <c r="F5184">
        <v>12000</v>
      </c>
      <c r="G5184" s="1">
        <v>7.0999999999999994E-2</v>
      </c>
      <c r="H5184" s="1">
        <v>7.0999999999999994E-2</v>
      </c>
      <c r="I5184" s="1">
        <v>7.0999999999999994E-2</v>
      </c>
      <c r="J5184" s="1">
        <v>5.5899999999999998E-2</v>
      </c>
    </row>
    <row r="5185" spans="1:10" x14ac:dyDescent="0.2">
      <c r="A5185" t="str">
        <f>"12/08/2003"</f>
        <v>12/08/2003</v>
      </c>
      <c r="B5185">
        <v>1</v>
      </c>
      <c r="C5185">
        <v>12000</v>
      </c>
      <c r="D5185">
        <v>191169</v>
      </c>
      <c r="E5185">
        <v>12000</v>
      </c>
      <c r="F5185">
        <v>12000</v>
      </c>
      <c r="G5185" s="1">
        <v>7.0999999999999994E-2</v>
      </c>
      <c r="H5185" s="1">
        <v>7.0900000000000005E-2</v>
      </c>
      <c r="I5185" s="1">
        <v>7.0900000000000005E-2</v>
      </c>
      <c r="J5185" s="1">
        <v>5.8999999999999997E-2</v>
      </c>
    </row>
    <row r="5186" spans="1:10" x14ac:dyDescent="0.2">
      <c r="A5186" t="str">
        <f>"11/08/2003"</f>
        <v>11/08/2003</v>
      </c>
      <c r="B5186">
        <v>1</v>
      </c>
      <c r="C5186">
        <v>12000</v>
      </c>
      <c r="D5186">
        <v>200068</v>
      </c>
      <c r="E5186">
        <v>12000</v>
      </c>
      <c r="F5186">
        <v>12000</v>
      </c>
      <c r="G5186" s="1">
        <v>7.0999999999999994E-2</v>
      </c>
      <c r="H5186" s="1">
        <v>7.0999999999999994E-2</v>
      </c>
      <c r="I5186" s="1">
        <v>7.0999999999999994E-2</v>
      </c>
      <c r="J5186" s="1">
        <v>5.7299999999999997E-2</v>
      </c>
    </row>
    <row r="5187" spans="1:10" x14ac:dyDescent="0.2">
      <c r="A5187" t="str">
        <f>"10/08/2003"</f>
        <v>10/08/2003</v>
      </c>
      <c r="B5187">
        <v>1</v>
      </c>
      <c r="C5187">
        <v>12500</v>
      </c>
      <c r="D5187">
        <v>204369</v>
      </c>
      <c r="E5187">
        <v>12500</v>
      </c>
      <c r="F5187">
        <v>12500</v>
      </c>
      <c r="G5187" s="1">
        <v>7.0999999999999994E-2</v>
      </c>
      <c r="H5187" s="1">
        <v>7.0999999999999994E-2</v>
      </c>
      <c r="I5187" s="1">
        <v>7.0999999999999994E-2</v>
      </c>
      <c r="J5187" s="1">
        <v>5.9900000000000002E-2</v>
      </c>
    </row>
    <row r="5188" spans="1:10" x14ac:dyDescent="0.2">
      <c r="A5188" t="str">
        <f>"06/08/2003"</f>
        <v>06/08/2003</v>
      </c>
      <c r="B5188">
        <v>4</v>
      </c>
      <c r="C5188">
        <v>11000</v>
      </c>
      <c r="D5188">
        <v>187472</v>
      </c>
      <c r="E5188">
        <v>11000</v>
      </c>
      <c r="F5188">
        <v>11000</v>
      </c>
      <c r="G5188" s="1">
        <v>7.0999999999999994E-2</v>
      </c>
      <c r="H5188" s="1">
        <v>7.0900000000000005E-2</v>
      </c>
      <c r="I5188" s="1">
        <v>7.0900000000000005E-2</v>
      </c>
      <c r="J5188" s="1">
        <v>5.5800000000000002E-2</v>
      </c>
    </row>
    <row r="5189" spans="1:10" x14ac:dyDescent="0.2">
      <c r="A5189" t="str">
        <f>"05/08/2003"</f>
        <v>05/08/2003</v>
      </c>
      <c r="B5189">
        <v>1</v>
      </c>
      <c r="C5189">
        <v>12500</v>
      </c>
      <c r="D5189">
        <v>183771</v>
      </c>
      <c r="E5189">
        <v>12500</v>
      </c>
      <c r="F5189">
        <v>12500</v>
      </c>
      <c r="G5189" s="1">
        <v>7.0999999999999994E-2</v>
      </c>
      <c r="H5189" s="1">
        <v>7.0999999999999994E-2</v>
      </c>
      <c r="I5189" s="1">
        <v>7.0999999999999994E-2</v>
      </c>
      <c r="J5189" s="1">
        <v>6.7699999999999996E-2</v>
      </c>
    </row>
    <row r="5190" spans="1:10" x14ac:dyDescent="0.2">
      <c r="A5190" t="str">
        <f>"04/08/2003"</f>
        <v>04/08/2003</v>
      </c>
      <c r="B5190">
        <v>1</v>
      </c>
      <c r="C5190">
        <v>12000</v>
      </c>
      <c r="D5190">
        <v>179471</v>
      </c>
      <c r="E5190">
        <v>12000</v>
      </c>
      <c r="F5190">
        <v>12000</v>
      </c>
      <c r="G5190" s="1">
        <v>7.0999999999999994E-2</v>
      </c>
      <c r="H5190" s="1">
        <v>7.0999999999999994E-2</v>
      </c>
      <c r="I5190" s="1">
        <v>7.0999999999999994E-2</v>
      </c>
      <c r="J5190" s="1">
        <v>6.6500000000000004E-2</v>
      </c>
    </row>
    <row r="5191" spans="1:10" x14ac:dyDescent="0.2">
      <c r="A5191" t="str">
        <f>"03/08/2003"</f>
        <v>03/08/2003</v>
      </c>
      <c r="B5191">
        <v>1</v>
      </c>
      <c r="C5191">
        <v>11000</v>
      </c>
      <c r="D5191">
        <v>150167</v>
      </c>
      <c r="E5191">
        <v>11000</v>
      </c>
      <c r="F5191">
        <v>11000</v>
      </c>
      <c r="G5191" s="1">
        <v>7.0999999999999994E-2</v>
      </c>
      <c r="H5191" s="1">
        <v>7.0900000000000005E-2</v>
      </c>
      <c r="I5191" s="1">
        <v>7.0900000000000005E-2</v>
      </c>
      <c r="J5191" s="1">
        <v>6.9699999999999998E-2</v>
      </c>
    </row>
    <row r="5192" spans="1:10" x14ac:dyDescent="0.2">
      <c r="A5192" t="str">
        <f>"31/07/2003"</f>
        <v>31/07/2003</v>
      </c>
      <c r="B5192">
        <v>3</v>
      </c>
      <c r="C5192">
        <v>10500</v>
      </c>
      <c r="D5192">
        <v>9864</v>
      </c>
      <c r="E5192">
        <v>9864</v>
      </c>
      <c r="F5192">
        <v>9864</v>
      </c>
      <c r="G5192" s="1">
        <v>7.0999999999999994E-2</v>
      </c>
      <c r="H5192" s="1">
        <v>7.0999999999999994E-2</v>
      </c>
      <c r="I5192" s="1">
        <v>7.0999999999999994E-2</v>
      </c>
      <c r="J5192" s="1">
        <v>1</v>
      </c>
    </row>
    <row r="5193" spans="1:10" x14ac:dyDescent="0.2">
      <c r="A5193" t="str">
        <f>"30/07/2003"</f>
        <v>30/07/2003</v>
      </c>
      <c r="B5193">
        <v>1</v>
      </c>
      <c r="C5193">
        <v>9000</v>
      </c>
      <c r="D5193">
        <v>8496</v>
      </c>
      <c r="E5193">
        <v>8496</v>
      </c>
      <c r="F5193">
        <v>8496</v>
      </c>
      <c r="G5193" s="1">
        <v>7.5999999999999998E-2</v>
      </c>
      <c r="H5193" s="1">
        <v>7.5999999999999998E-2</v>
      </c>
      <c r="I5193" s="1">
        <v>7.5999999999999998E-2</v>
      </c>
      <c r="J5193" s="1">
        <v>1</v>
      </c>
    </row>
    <row r="5194" spans="1:10" x14ac:dyDescent="0.2">
      <c r="A5194" t="str">
        <f>"29/07/2003"</f>
        <v>29/07/2003</v>
      </c>
      <c r="B5194">
        <v>1</v>
      </c>
      <c r="C5194">
        <v>7000</v>
      </c>
      <c r="D5194">
        <v>120870</v>
      </c>
      <c r="E5194">
        <v>7000</v>
      </c>
      <c r="F5194">
        <v>7000</v>
      </c>
      <c r="G5194" s="1">
        <v>7.5999999999999998E-2</v>
      </c>
      <c r="H5194" s="1">
        <v>7.5899999999999995E-2</v>
      </c>
      <c r="I5194" s="1">
        <v>7.5899999999999995E-2</v>
      </c>
      <c r="J5194" s="1">
        <v>5.3400000000000003E-2</v>
      </c>
    </row>
    <row r="5195" spans="1:10" x14ac:dyDescent="0.2">
      <c r="A5195" t="str">
        <f>"28/07/2003"</f>
        <v>28/07/2003</v>
      </c>
      <c r="B5195">
        <v>1</v>
      </c>
      <c r="C5195">
        <v>7000</v>
      </c>
      <c r="D5195">
        <v>113040</v>
      </c>
      <c r="E5195">
        <v>7000</v>
      </c>
      <c r="F5195">
        <v>7000</v>
      </c>
      <c r="G5195" s="1">
        <v>7.5999999999999998E-2</v>
      </c>
      <c r="H5195" s="1">
        <v>7.5899999999999995E-2</v>
      </c>
      <c r="I5195" s="1">
        <v>7.5899999999999995E-2</v>
      </c>
      <c r="J5195" s="1">
        <v>5.7200000000000001E-2</v>
      </c>
    </row>
    <row r="5196" spans="1:10" x14ac:dyDescent="0.2">
      <c r="A5196" t="str">
        <f>"27/07/2003"</f>
        <v>27/07/2003</v>
      </c>
      <c r="B5196">
        <v>1</v>
      </c>
      <c r="C5196">
        <v>9500</v>
      </c>
      <c r="D5196">
        <v>136667</v>
      </c>
      <c r="E5196">
        <v>9500</v>
      </c>
      <c r="F5196">
        <v>9500</v>
      </c>
      <c r="G5196" s="1">
        <v>7.5999999999999998E-2</v>
      </c>
      <c r="H5196" s="1">
        <v>7.5899999999999995E-2</v>
      </c>
      <c r="I5196" s="1">
        <v>7.5899999999999995E-2</v>
      </c>
      <c r="J5196" s="1">
        <v>6.3899999999999998E-2</v>
      </c>
    </row>
    <row r="5197" spans="1:10" x14ac:dyDescent="0.2">
      <c r="A5197" t="str">
        <f>"24/07/2003"</f>
        <v>24/07/2003</v>
      </c>
      <c r="B5197">
        <v>3</v>
      </c>
      <c r="C5197">
        <v>9500</v>
      </c>
      <c r="D5197">
        <v>144015</v>
      </c>
      <c r="E5197">
        <v>9500</v>
      </c>
      <c r="F5197">
        <v>9500</v>
      </c>
      <c r="G5197" s="1">
        <v>7.5999999999999998E-2</v>
      </c>
      <c r="H5197" s="1">
        <v>7.5899999999999995E-2</v>
      </c>
      <c r="I5197" s="1">
        <v>7.5899999999999995E-2</v>
      </c>
      <c r="J5197" s="1">
        <v>5.8999999999999997E-2</v>
      </c>
    </row>
    <row r="5198" spans="1:10" x14ac:dyDescent="0.2">
      <c r="A5198" t="str">
        <f>"23/07/2003"</f>
        <v>23/07/2003</v>
      </c>
      <c r="B5198">
        <v>1</v>
      </c>
      <c r="C5198">
        <v>7000</v>
      </c>
      <c r="D5198">
        <v>110867</v>
      </c>
      <c r="E5198">
        <v>7000</v>
      </c>
      <c r="F5198">
        <v>7000</v>
      </c>
      <c r="G5198" s="1">
        <v>7.5999999999999998E-2</v>
      </c>
      <c r="H5198" s="1">
        <v>7.5899999999999995E-2</v>
      </c>
      <c r="I5198" s="1">
        <v>7.5899999999999995E-2</v>
      </c>
      <c r="J5198" s="1">
        <v>5.8299999999999998E-2</v>
      </c>
    </row>
    <row r="5199" spans="1:10" x14ac:dyDescent="0.2">
      <c r="A5199" t="str">
        <f>"22/07/2003"</f>
        <v>22/07/2003</v>
      </c>
      <c r="B5199">
        <v>1</v>
      </c>
      <c r="C5199">
        <v>9000</v>
      </c>
      <c r="D5199">
        <v>140368</v>
      </c>
      <c r="E5199">
        <v>9000</v>
      </c>
      <c r="F5199">
        <v>9000</v>
      </c>
      <c r="G5199" s="1">
        <v>7.5999999999999998E-2</v>
      </c>
      <c r="H5199" s="1">
        <v>7.5899999999999995E-2</v>
      </c>
      <c r="I5199" s="1">
        <v>7.5899999999999995E-2</v>
      </c>
      <c r="J5199" s="1">
        <v>5.6899999999999999E-2</v>
      </c>
    </row>
    <row r="5200" spans="1:10" x14ac:dyDescent="0.2">
      <c r="A5200" t="str">
        <f>"21/07/2003"</f>
        <v>21/07/2003</v>
      </c>
      <c r="B5200">
        <v>1</v>
      </c>
      <c r="C5200">
        <v>9500</v>
      </c>
      <c r="D5200">
        <v>141968</v>
      </c>
      <c r="E5200">
        <v>9500</v>
      </c>
      <c r="F5200">
        <v>9500</v>
      </c>
      <c r="G5200" s="1">
        <v>7.5999999999999998E-2</v>
      </c>
      <c r="H5200" s="1">
        <v>7.5899999999999995E-2</v>
      </c>
      <c r="I5200" s="1">
        <v>7.5899999999999995E-2</v>
      </c>
      <c r="J5200" s="1">
        <v>5.9799999999999999E-2</v>
      </c>
    </row>
    <row r="5201" spans="1:10" x14ac:dyDescent="0.2">
      <c r="A5201" t="str">
        <f>"20/07/2003"</f>
        <v>20/07/2003</v>
      </c>
      <c r="B5201">
        <v>1</v>
      </c>
      <c r="C5201">
        <v>9500</v>
      </c>
      <c r="D5201">
        <v>137569</v>
      </c>
      <c r="E5201">
        <v>9500</v>
      </c>
      <c r="F5201">
        <v>9500</v>
      </c>
      <c r="G5201" s="1">
        <v>7.5999999999999998E-2</v>
      </c>
      <c r="H5201" s="1">
        <v>7.5899999999999995E-2</v>
      </c>
      <c r="I5201" s="1">
        <v>7.5899999999999995E-2</v>
      </c>
      <c r="J5201" s="1">
        <v>6.1800000000000001E-2</v>
      </c>
    </row>
    <row r="5202" spans="1:10" x14ac:dyDescent="0.2">
      <c r="A5202" t="str">
        <f>"17/07/2003"</f>
        <v>17/07/2003</v>
      </c>
      <c r="B5202">
        <v>3</v>
      </c>
      <c r="C5202">
        <v>9500</v>
      </c>
      <c r="D5202">
        <v>146065</v>
      </c>
      <c r="E5202">
        <v>9500</v>
      </c>
      <c r="F5202">
        <v>9500</v>
      </c>
      <c r="G5202" s="1">
        <v>7.5999999999999998E-2</v>
      </c>
      <c r="H5202" s="1">
        <v>7.5899999999999995E-2</v>
      </c>
      <c r="I5202" s="1">
        <v>7.5899999999999995E-2</v>
      </c>
      <c r="J5202" s="1">
        <v>5.8200000000000002E-2</v>
      </c>
    </row>
    <row r="5203" spans="1:10" x14ac:dyDescent="0.2">
      <c r="A5203" t="str">
        <f>"16/07/2003"</f>
        <v>16/07/2003</v>
      </c>
      <c r="B5203">
        <v>1</v>
      </c>
      <c r="C5203">
        <v>6000</v>
      </c>
      <c r="D5203">
        <v>111969</v>
      </c>
      <c r="E5203">
        <v>6000</v>
      </c>
      <c r="F5203">
        <v>6000</v>
      </c>
      <c r="G5203" s="1">
        <v>7.5999999999999998E-2</v>
      </c>
      <c r="H5203" s="1">
        <v>7.5899999999999995E-2</v>
      </c>
      <c r="I5203" s="1">
        <v>7.5899999999999995E-2</v>
      </c>
      <c r="J5203" s="1">
        <v>5.0900000000000001E-2</v>
      </c>
    </row>
    <row r="5204" spans="1:10" x14ac:dyDescent="0.2">
      <c r="A5204" t="str">
        <f>"15/07/2003"</f>
        <v>15/07/2003</v>
      </c>
      <c r="B5204">
        <v>1</v>
      </c>
      <c r="C5204">
        <v>14000</v>
      </c>
      <c r="D5204">
        <v>214473</v>
      </c>
      <c r="E5204">
        <v>14000</v>
      </c>
      <c r="F5204">
        <v>14000</v>
      </c>
      <c r="G5204" s="1">
        <v>7.5999999999999998E-2</v>
      </c>
      <c r="H5204" s="1">
        <v>7.5999999999999998E-2</v>
      </c>
      <c r="I5204" s="1">
        <v>7.5999999999999998E-2</v>
      </c>
      <c r="J5204" s="1">
        <v>6.2799999999999995E-2</v>
      </c>
    </row>
    <row r="5205" spans="1:10" x14ac:dyDescent="0.2">
      <c r="A5205" t="str">
        <f>"14/07/2003"</f>
        <v>14/07/2003</v>
      </c>
      <c r="B5205">
        <v>1</v>
      </c>
      <c r="C5205">
        <v>15000</v>
      </c>
      <c r="D5205">
        <v>231973</v>
      </c>
      <c r="E5205">
        <v>15000</v>
      </c>
      <c r="F5205">
        <v>15000</v>
      </c>
      <c r="G5205" s="1">
        <v>7.5999999999999998E-2</v>
      </c>
      <c r="H5205" s="1">
        <v>7.5999999999999998E-2</v>
      </c>
      <c r="I5205" s="1">
        <v>7.5999999999999998E-2</v>
      </c>
      <c r="J5205" s="1">
        <v>6.2300000000000001E-2</v>
      </c>
    </row>
    <row r="5206" spans="1:10" x14ac:dyDescent="0.2">
      <c r="A5206" t="str">
        <f>"13/07/2003"</f>
        <v>13/07/2003</v>
      </c>
      <c r="B5206">
        <v>1</v>
      </c>
      <c r="C5206">
        <v>15500</v>
      </c>
      <c r="D5206">
        <v>242073</v>
      </c>
      <c r="E5206">
        <v>15500</v>
      </c>
      <c r="F5206">
        <v>15500</v>
      </c>
      <c r="G5206" s="1">
        <v>7.5999999999999998E-2</v>
      </c>
      <c r="H5206" s="1">
        <v>7.5999999999999998E-2</v>
      </c>
      <c r="I5206" s="1">
        <v>7.5999999999999998E-2</v>
      </c>
      <c r="J5206" s="1">
        <v>6.1800000000000001E-2</v>
      </c>
    </row>
    <row r="5207" spans="1:10" x14ac:dyDescent="0.2">
      <c r="A5207" t="str">
        <f>"10/07/2003"</f>
        <v>10/07/2003</v>
      </c>
      <c r="B5207">
        <v>3</v>
      </c>
      <c r="C5207">
        <v>15500</v>
      </c>
      <c r="D5207">
        <v>242272</v>
      </c>
      <c r="E5207">
        <v>15500</v>
      </c>
      <c r="F5207">
        <v>15500</v>
      </c>
      <c r="G5207" s="1">
        <v>7.5999999999999998E-2</v>
      </c>
      <c r="H5207" s="1">
        <v>7.5999999999999998E-2</v>
      </c>
      <c r="I5207" s="1">
        <v>7.5999999999999998E-2</v>
      </c>
      <c r="J5207" s="1">
        <v>6.1800000000000001E-2</v>
      </c>
    </row>
    <row r="5208" spans="1:10" x14ac:dyDescent="0.2">
      <c r="A5208" t="str">
        <f>"09/07/2003"</f>
        <v>09/07/2003</v>
      </c>
      <c r="B5208">
        <v>1</v>
      </c>
      <c r="C5208">
        <v>16500</v>
      </c>
      <c r="D5208">
        <v>250175</v>
      </c>
      <c r="E5208">
        <v>16500</v>
      </c>
      <c r="F5208">
        <v>16500</v>
      </c>
      <c r="G5208" s="1">
        <v>7.5999999999999998E-2</v>
      </c>
      <c r="H5208" s="1">
        <v>7.5999999999999998E-2</v>
      </c>
      <c r="I5208" s="1">
        <v>7.5999999999999998E-2</v>
      </c>
      <c r="J5208" s="1">
        <v>6.2899999999999998E-2</v>
      </c>
    </row>
    <row r="5209" spans="1:10" x14ac:dyDescent="0.2">
      <c r="A5209" t="str">
        <f>"08/07/2003"</f>
        <v>08/07/2003</v>
      </c>
      <c r="B5209">
        <v>1</v>
      </c>
      <c r="C5209">
        <v>16500</v>
      </c>
      <c r="D5209">
        <v>244272</v>
      </c>
      <c r="E5209">
        <v>16500</v>
      </c>
      <c r="F5209">
        <v>16500</v>
      </c>
      <c r="G5209" s="1">
        <v>7.5999999999999998E-2</v>
      </c>
      <c r="H5209" s="1">
        <v>7.5999999999999998E-2</v>
      </c>
      <c r="I5209" s="1">
        <v>7.5999999999999998E-2</v>
      </c>
      <c r="J5209" s="1">
        <v>6.4399999999999999E-2</v>
      </c>
    </row>
    <row r="5210" spans="1:10" x14ac:dyDescent="0.2">
      <c r="A5210" t="str">
        <f>"07/07/2003"</f>
        <v>07/07/2003</v>
      </c>
      <c r="B5210">
        <v>1</v>
      </c>
      <c r="C5210">
        <v>16500</v>
      </c>
      <c r="D5210">
        <v>249171</v>
      </c>
      <c r="E5210">
        <v>16500</v>
      </c>
      <c r="F5210">
        <v>16500</v>
      </c>
      <c r="G5210" s="1">
        <v>7.5999999999999998E-2</v>
      </c>
      <c r="H5210" s="1">
        <v>7.5999999999999998E-2</v>
      </c>
      <c r="I5210" s="1">
        <v>7.5999999999999998E-2</v>
      </c>
      <c r="J5210" s="1">
        <v>6.4100000000000004E-2</v>
      </c>
    </row>
    <row r="5211" spans="1:10" x14ac:dyDescent="0.2">
      <c r="A5211" t="str">
        <f>"06/07/2003"</f>
        <v>06/07/2003</v>
      </c>
      <c r="B5211">
        <v>1</v>
      </c>
      <c r="C5211">
        <v>15000</v>
      </c>
      <c r="D5211">
        <v>236173</v>
      </c>
      <c r="E5211">
        <v>15000</v>
      </c>
      <c r="F5211">
        <v>15000</v>
      </c>
      <c r="G5211" s="1">
        <v>7.5999999999999998E-2</v>
      </c>
      <c r="H5211" s="1">
        <v>7.5999999999999998E-2</v>
      </c>
      <c r="I5211" s="1">
        <v>7.5999999999999998E-2</v>
      </c>
      <c r="J5211" s="1">
        <v>6.1199999999999997E-2</v>
      </c>
    </row>
    <row r="5212" spans="1:10" x14ac:dyDescent="0.2">
      <c r="A5212" t="str">
        <f>"03/07/2003"</f>
        <v>03/07/2003</v>
      </c>
      <c r="B5212">
        <v>3</v>
      </c>
      <c r="C5212">
        <v>14500</v>
      </c>
      <c r="D5212">
        <v>225072</v>
      </c>
      <c r="E5212">
        <v>14500</v>
      </c>
      <c r="F5212">
        <v>14500</v>
      </c>
      <c r="G5212" s="1">
        <v>7.5999999999999998E-2</v>
      </c>
      <c r="H5212" s="1">
        <v>7.5999999999999998E-2</v>
      </c>
      <c r="I5212" s="1">
        <v>7.5999999999999998E-2</v>
      </c>
      <c r="J5212" s="1">
        <v>6.2E-2</v>
      </c>
    </row>
    <row r="5213" spans="1:10" x14ac:dyDescent="0.2">
      <c r="A5213" t="str">
        <f>"02/07/2003"</f>
        <v>02/07/2003</v>
      </c>
      <c r="B5213">
        <v>1</v>
      </c>
      <c r="C5213">
        <v>15000</v>
      </c>
      <c r="D5213">
        <v>223026</v>
      </c>
      <c r="E5213">
        <v>15000</v>
      </c>
      <c r="F5213">
        <v>15000</v>
      </c>
      <c r="G5213" s="1">
        <v>7.5999999999999998E-2</v>
      </c>
      <c r="H5213" s="1">
        <v>7.5999999999999998E-2</v>
      </c>
      <c r="I5213" s="1">
        <v>7.5999999999999998E-2</v>
      </c>
      <c r="J5213" s="1">
        <v>6.7000000000000004E-2</v>
      </c>
    </row>
    <row r="5214" spans="1:10" x14ac:dyDescent="0.2">
      <c r="A5214" t="str">
        <f>"01/07/2003"</f>
        <v>01/07/2003</v>
      </c>
      <c r="B5214">
        <v>1</v>
      </c>
      <c r="C5214">
        <v>14000</v>
      </c>
      <c r="D5214">
        <v>212570</v>
      </c>
      <c r="E5214">
        <v>14000</v>
      </c>
      <c r="F5214">
        <v>14000</v>
      </c>
      <c r="G5214" s="1">
        <v>7.5999999999999998E-2</v>
      </c>
      <c r="H5214" s="1">
        <v>7.5999999999999998E-2</v>
      </c>
      <c r="I5214" s="1">
        <v>7.5999999999999998E-2</v>
      </c>
      <c r="J5214" s="1">
        <v>6.3299999999999995E-2</v>
      </c>
    </row>
    <row r="5215" spans="1:10" x14ac:dyDescent="0.2">
      <c r="A5215" t="str">
        <f>"30/06/2003"</f>
        <v>30/06/2003</v>
      </c>
      <c r="B5215">
        <v>1</v>
      </c>
      <c r="C5215">
        <v>13000</v>
      </c>
      <c r="D5215">
        <v>13356</v>
      </c>
      <c r="E5215">
        <v>13000</v>
      </c>
      <c r="F5215">
        <v>13000</v>
      </c>
      <c r="G5215" s="1">
        <v>7.5999999999999998E-2</v>
      </c>
      <c r="H5215" s="1">
        <v>7.5999999999999998E-2</v>
      </c>
      <c r="I5215" s="1">
        <v>7.5999999999999998E-2</v>
      </c>
      <c r="J5215" s="1">
        <v>0.97319999999999995</v>
      </c>
    </row>
    <row r="5216" spans="1:10" x14ac:dyDescent="0.2">
      <c r="A5216" t="str">
        <f>"29/06/2003"</f>
        <v>29/06/2003</v>
      </c>
      <c r="B5216">
        <v>1</v>
      </c>
      <c r="C5216">
        <v>9500</v>
      </c>
      <c r="D5216">
        <v>142415</v>
      </c>
      <c r="E5216">
        <v>9500</v>
      </c>
      <c r="F5216">
        <v>9500</v>
      </c>
      <c r="G5216" s="1">
        <v>7.5999999999999998E-2</v>
      </c>
      <c r="H5216" s="1">
        <v>7.5999999999999998E-2</v>
      </c>
      <c r="I5216" s="1">
        <v>7.5999999999999998E-2</v>
      </c>
      <c r="J5216" s="1">
        <v>6.6299999999999998E-2</v>
      </c>
    </row>
    <row r="5217" spans="1:10" x14ac:dyDescent="0.2">
      <c r="A5217" t="str">
        <f>"26/06/2003"</f>
        <v>26/06/2003</v>
      </c>
      <c r="B5217">
        <v>3</v>
      </c>
      <c r="C5217">
        <v>8000</v>
      </c>
      <c r="D5217">
        <v>112816</v>
      </c>
      <c r="E5217">
        <v>8000</v>
      </c>
      <c r="F5217">
        <v>8000</v>
      </c>
      <c r="G5217" s="1">
        <v>7.5999999999999998E-2</v>
      </c>
      <c r="H5217" s="1">
        <v>7.5899999999999995E-2</v>
      </c>
      <c r="I5217" s="1">
        <v>7.5899999999999995E-2</v>
      </c>
      <c r="J5217" s="1">
        <v>6.6199999999999995E-2</v>
      </c>
    </row>
    <row r="5218" spans="1:10" x14ac:dyDescent="0.2">
      <c r="A5218" t="str">
        <f>"25/06/2003"</f>
        <v>25/06/2003</v>
      </c>
      <c r="B5218">
        <v>1</v>
      </c>
      <c r="C5218">
        <v>7000</v>
      </c>
      <c r="D5218">
        <v>6586</v>
      </c>
      <c r="E5218">
        <v>6586</v>
      </c>
      <c r="F5218">
        <v>6586</v>
      </c>
      <c r="G5218" s="1">
        <v>8.1000000000000003E-2</v>
      </c>
      <c r="H5218" s="1">
        <v>8.1000000000000003E-2</v>
      </c>
      <c r="I5218" s="1">
        <v>8.1000000000000003E-2</v>
      </c>
      <c r="J5218" s="1">
        <v>1</v>
      </c>
    </row>
    <row r="5219" spans="1:10" x14ac:dyDescent="0.2">
      <c r="A5219" t="str">
        <f>"24/06/2003"</f>
        <v>24/06/2003</v>
      </c>
      <c r="B5219">
        <v>1</v>
      </c>
      <c r="C5219">
        <v>8500</v>
      </c>
      <c r="D5219">
        <v>96276</v>
      </c>
      <c r="E5219">
        <v>8500</v>
      </c>
      <c r="F5219">
        <v>8500</v>
      </c>
      <c r="G5219" s="1">
        <v>8.1000000000000003E-2</v>
      </c>
      <c r="H5219" s="1">
        <v>8.1000000000000003E-2</v>
      </c>
      <c r="I5219" s="1">
        <v>8.1000000000000003E-2</v>
      </c>
      <c r="J5219" s="1">
        <v>8.7599999999999997E-2</v>
      </c>
    </row>
    <row r="5220" spans="1:10" x14ac:dyDescent="0.2">
      <c r="A5220" t="str">
        <f>"23/06/2003"</f>
        <v>23/06/2003</v>
      </c>
      <c r="B5220">
        <v>1</v>
      </c>
      <c r="C5220">
        <v>8000</v>
      </c>
      <c r="D5220">
        <v>133883</v>
      </c>
      <c r="E5220">
        <v>8000</v>
      </c>
      <c r="F5220">
        <v>8000</v>
      </c>
      <c r="G5220" s="1">
        <v>8.1000000000000003E-2</v>
      </c>
      <c r="H5220" s="1">
        <v>8.09E-2</v>
      </c>
      <c r="I5220" s="1">
        <v>8.09E-2</v>
      </c>
      <c r="J5220" s="1">
        <v>5.5599999999999997E-2</v>
      </c>
    </row>
    <row r="5221" spans="1:10" x14ac:dyDescent="0.2">
      <c r="A5221" t="str">
        <f>"22/06/2003"</f>
        <v>22/06/2003</v>
      </c>
      <c r="B5221">
        <v>1</v>
      </c>
      <c r="C5221">
        <v>9000</v>
      </c>
      <c r="D5221">
        <v>132379</v>
      </c>
      <c r="E5221">
        <v>9000</v>
      </c>
      <c r="F5221">
        <v>9000</v>
      </c>
      <c r="G5221" s="1">
        <v>8.1000000000000003E-2</v>
      </c>
      <c r="H5221" s="1">
        <v>8.09E-2</v>
      </c>
      <c r="I5221" s="1">
        <v>8.09E-2</v>
      </c>
      <c r="J5221" s="1">
        <v>6.3899999999999998E-2</v>
      </c>
    </row>
    <row r="5222" spans="1:10" x14ac:dyDescent="0.2">
      <c r="A5222" t="str">
        <f>"19/06/2003"</f>
        <v>19/06/2003</v>
      </c>
      <c r="B5222">
        <v>3</v>
      </c>
      <c r="C5222">
        <v>9000</v>
      </c>
      <c r="D5222">
        <v>114171</v>
      </c>
      <c r="E5222">
        <v>9000</v>
      </c>
      <c r="F5222">
        <v>9000</v>
      </c>
      <c r="G5222" s="1">
        <v>8.1000000000000003E-2</v>
      </c>
      <c r="H5222" s="1">
        <v>8.1000000000000003E-2</v>
      </c>
      <c r="I5222" s="1">
        <v>8.1000000000000003E-2</v>
      </c>
      <c r="J5222" s="1">
        <v>7.6200000000000004E-2</v>
      </c>
    </row>
    <row r="5223" spans="1:10" x14ac:dyDescent="0.2">
      <c r="A5223" t="str">
        <f>"18/06/2003"</f>
        <v>18/06/2003</v>
      </c>
      <c r="B5223">
        <v>1</v>
      </c>
      <c r="C5223">
        <v>10000</v>
      </c>
      <c r="D5223">
        <v>150129</v>
      </c>
      <c r="E5223">
        <v>10000</v>
      </c>
      <c r="F5223">
        <v>10000</v>
      </c>
      <c r="G5223" s="1">
        <v>8.1000000000000003E-2</v>
      </c>
      <c r="H5223" s="1">
        <v>8.1000000000000003E-2</v>
      </c>
      <c r="I5223" s="1">
        <v>8.1000000000000003E-2</v>
      </c>
      <c r="J5223" s="1">
        <v>6.4600000000000005E-2</v>
      </c>
    </row>
    <row r="5224" spans="1:10" x14ac:dyDescent="0.2">
      <c r="A5224" t="str">
        <f>"17/06/2003"</f>
        <v>17/06/2003</v>
      </c>
      <c r="B5224">
        <v>1</v>
      </c>
      <c r="C5224">
        <v>10000</v>
      </c>
      <c r="D5224">
        <v>164999</v>
      </c>
      <c r="E5224">
        <v>10000</v>
      </c>
      <c r="F5224">
        <v>10000</v>
      </c>
      <c r="G5224" s="1">
        <v>8.1000000000000003E-2</v>
      </c>
      <c r="H5224" s="1">
        <v>8.09E-2</v>
      </c>
      <c r="I5224" s="1">
        <v>8.09E-2</v>
      </c>
      <c r="J5224" s="1">
        <v>5.7299999999999997E-2</v>
      </c>
    </row>
    <row r="5225" spans="1:10" x14ac:dyDescent="0.2">
      <c r="A5225" t="str">
        <f>"16/06/2003"</f>
        <v>16/06/2003</v>
      </c>
      <c r="B5225">
        <v>1</v>
      </c>
      <c r="C5225">
        <v>9500</v>
      </c>
      <c r="D5225">
        <v>155638</v>
      </c>
      <c r="E5225">
        <v>9500</v>
      </c>
      <c r="F5225">
        <v>9500</v>
      </c>
      <c r="G5225" s="1">
        <v>8.1000000000000003E-2</v>
      </c>
      <c r="H5225" s="1">
        <v>8.09E-2</v>
      </c>
      <c r="I5225" s="1">
        <v>8.09E-2</v>
      </c>
      <c r="J5225" s="1">
        <v>5.7500000000000002E-2</v>
      </c>
    </row>
    <row r="5226" spans="1:10" x14ac:dyDescent="0.2">
      <c r="A5226" t="str">
        <f>"15/06/2003"</f>
        <v>15/06/2003</v>
      </c>
      <c r="B5226">
        <v>1</v>
      </c>
      <c r="C5226">
        <v>16000</v>
      </c>
      <c r="D5226">
        <v>239027</v>
      </c>
      <c r="E5226">
        <v>16000</v>
      </c>
      <c r="F5226">
        <v>16000</v>
      </c>
      <c r="G5226" s="1">
        <v>8.1000000000000003E-2</v>
      </c>
      <c r="H5226" s="1">
        <v>8.1000000000000003E-2</v>
      </c>
      <c r="I5226" s="1">
        <v>8.1000000000000003E-2</v>
      </c>
      <c r="J5226" s="1">
        <v>6.4699999999999994E-2</v>
      </c>
    </row>
    <row r="5227" spans="1:10" x14ac:dyDescent="0.2">
      <c r="A5227" t="str">
        <f>"12/06/2003"</f>
        <v>12/06/2003</v>
      </c>
      <c r="B5227">
        <v>3</v>
      </c>
      <c r="C5227">
        <v>16500</v>
      </c>
      <c r="D5227">
        <v>239975</v>
      </c>
      <c r="E5227">
        <v>16500</v>
      </c>
      <c r="F5227">
        <v>16500</v>
      </c>
      <c r="G5227" s="1">
        <v>8.1000000000000003E-2</v>
      </c>
      <c r="H5227" s="1">
        <v>8.1000000000000003E-2</v>
      </c>
      <c r="I5227" s="1">
        <v>8.1000000000000003E-2</v>
      </c>
      <c r="J5227" s="1">
        <v>6.6500000000000004E-2</v>
      </c>
    </row>
    <row r="5228" spans="1:10" x14ac:dyDescent="0.2">
      <c r="A5228" t="str">
        <f>"11/06/2003"</f>
        <v>11/06/2003</v>
      </c>
      <c r="B5228">
        <v>1</v>
      </c>
      <c r="C5228">
        <v>13000</v>
      </c>
      <c r="D5228">
        <v>172856</v>
      </c>
      <c r="E5228">
        <v>13000</v>
      </c>
      <c r="F5228">
        <v>13000</v>
      </c>
      <c r="G5228" s="1">
        <v>8.1000000000000003E-2</v>
      </c>
      <c r="H5228" s="1">
        <v>8.1000000000000003E-2</v>
      </c>
      <c r="I5228" s="1">
        <v>8.1000000000000003E-2</v>
      </c>
      <c r="J5228" s="1">
        <v>7.4800000000000005E-2</v>
      </c>
    </row>
    <row r="5229" spans="1:10" x14ac:dyDescent="0.2">
      <c r="A5229" t="str">
        <f>"10/06/2003"</f>
        <v>10/06/2003</v>
      </c>
      <c r="B5229">
        <v>1</v>
      </c>
      <c r="C5229">
        <v>13500</v>
      </c>
      <c r="D5229">
        <v>179257</v>
      </c>
      <c r="E5229">
        <v>13500</v>
      </c>
      <c r="F5229">
        <v>13500</v>
      </c>
      <c r="G5229" s="1">
        <v>8.1000000000000003E-2</v>
      </c>
      <c r="H5229" s="1">
        <v>8.1000000000000003E-2</v>
      </c>
      <c r="I5229" s="1">
        <v>8.1000000000000003E-2</v>
      </c>
      <c r="J5229" s="1">
        <v>7.2300000000000003E-2</v>
      </c>
    </row>
    <row r="5230" spans="1:10" x14ac:dyDescent="0.2">
      <c r="A5230" t="str">
        <f>"09/06/2003"</f>
        <v>09/06/2003</v>
      </c>
      <c r="B5230">
        <v>1</v>
      </c>
      <c r="C5230">
        <v>13500</v>
      </c>
      <c r="D5230">
        <v>182941</v>
      </c>
      <c r="E5230">
        <v>13500</v>
      </c>
      <c r="F5230">
        <v>13500</v>
      </c>
      <c r="G5230" s="1">
        <v>8.1000000000000003E-2</v>
      </c>
      <c r="H5230" s="1">
        <v>8.09E-2</v>
      </c>
      <c r="I5230" s="1">
        <v>8.09E-2</v>
      </c>
      <c r="J5230" s="1">
        <v>6.9599999999999995E-2</v>
      </c>
    </row>
    <row r="5231" spans="1:10" x14ac:dyDescent="0.2">
      <c r="A5231" t="str">
        <f>"08/06/2003"</f>
        <v>08/06/2003</v>
      </c>
      <c r="B5231">
        <v>1</v>
      </c>
      <c r="C5231">
        <v>13500</v>
      </c>
      <c r="D5231">
        <v>179156</v>
      </c>
      <c r="E5231">
        <v>13500</v>
      </c>
      <c r="F5231">
        <v>13500</v>
      </c>
      <c r="G5231" s="1">
        <v>8.1000000000000003E-2</v>
      </c>
      <c r="H5231" s="1">
        <v>8.09E-2</v>
      </c>
      <c r="I5231" s="1">
        <v>8.09E-2</v>
      </c>
      <c r="J5231" s="1">
        <v>7.0999999999999994E-2</v>
      </c>
    </row>
    <row r="5232" spans="1:10" x14ac:dyDescent="0.2">
      <c r="A5232" t="str">
        <f>"04/06/2003"</f>
        <v>04/06/2003</v>
      </c>
      <c r="B5232">
        <v>4</v>
      </c>
      <c r="C5232">
        <v>13000</v>
      </c>
      <c r="D5232">
        <v>165914</v>
      </c>
      <c r="E5232">
        <v>13000</v>
      </c>
      <c r="F5232">
        <v>13000</v>
      </c>
      <c r="G5232" s="1">
        <v>8.1000000000000003E-2</v>
      </c>
      <c r="H5232" s="1">
        <v>8.1000000000000003E-2</v>
      </c>
      <c r="I5232" s="1">
        <v>8.1000000000000003E-2</v>
      </c>
      <c r="J5232" s="1">
        <v>7.5200000000000003E-2</v>
      </c>
    </row>
    <row r="5233" spans="1:10" x14ac:dyDescent="0.2">
      <c r="A5233" t="str">
        <f>"03/06/2003"</f>
        <v>03/06/2003</v>
      </c>
      <c r="B5233">
        <v>1</v>
      </c>
      <c r="C5233">
        <v>13000</v>
      </c>
      <c r="D5233">
        <v>158135</v>
      </c>
      <c r="E5233">
        <v>13000</v>
      </c>
      <c r="F5233">
        <v>13000</v>
      </c>
      <c r="G5233" s="1">
        <v>8.1000000000000003E-2</v>
      </c>
      <c r="H5233" s="1">
        <v>8.1000000000000003E-2</v>
      </c>
      <c r="I5233" s="1">
        <v>8.1000000000000003E-2</v>
      </c>
      <c r="J5233" s="1">
        <v>8.1799999999999998E-2</v>
      </c>
    </row>
    <row r="5234" spans="1:10" x14ac:dyDescent="0.2">
      <c r="A5234" t="str">
        <f>"02/06/2003"</f>
        <v>02/06/2003</v>
      </c>
      <c r="B5234">
        <v>1</v>
      </c>
      <c r="C5234">
        <v>12000</v>
      </c>
      <c r="D5234">
        <v>147609</v>
      </c>
      <c r="E5234">
        <v>12000</v>
      </c>
      <c r="F5234">
        <v>12000</v>
      </c>
      <c r="G5234" s="1">
        <v>8.1000000000000003E-2</v>
      </c>
      <c r="H5234" s="1">
        <v>8.1000000000000003E-2</v>
      </c>
      <c r="I5234" s="1">
        <v>8.1000000000000003E-2</v>
      </c>
      <c r="J5234" s="1">
        <v>7.7700000000000005E-2</v>
      </c>
    </row>
    <row r="5235" spans="1:10" x14ac:dyDescent="0.2">
      <c r="A5235" t="str">
        <f>"01/06/2003"</f>
        <v>01/06/2003</v>
      </c>
      <c r="B5235">
        <v>1</v>
      </c>
      <c r="C5235">
        <v>11500</v>
      </c>
      <c r="D5235">
        <v>130286</v>
      </c>
      <c r="E5235">
        <v>11500</v>
      </c>
      <c r="F5235">
        <v>11500</v>
      </c>
      <c r="G5235" s="1">
        <v>8.1000000000000003E-2</v>
      </c>
      <c r="H5235" s="1">
        <v>8.1000000000000003E-2</v>
      </c>
      <c r="I5235" s="1">
        <v>8.1000000000000003E-2</v>
      </c>
      <c r="J5235" s="1">
        <v>8.77E-2</v>
      </c>
    </row>
    <row r="5236" spans="1:10" x14ac:dyDescent="0.2">
      <c r="A5236" t="str">
        <f>"29/05/2003"</f>
        <v>29/05/2003</v>
      </c>
      <c r="B5236">
        <v>3</v>
      </c>
      <c r="C5236">
        <v>8500</v>
      </c>
      <c r="D5236">
        <v>10744</v>
      </c>
      <c r="E5236">
        <v>8500</v>
      </c>
      <c r="F5236">
        <v>8500</v>
      </c>
      <c r="G5236" s="1">
        <v>8.1000000000000003E-2</v>
      </c>
      <c r="H5236" s="1">
        <v>8.1000000000000003E-2</v>
      </c>
      <c r="I5236" s="1">
        <v>8.1000000000000003E-2</v>
      </c>
      <c r="J5236" s="1">
        <v>0.78979999999999995</v>
      </c>
    </row>
    <row r="5237" spans="1:10" x14ac:dyDescent="0.2">
      <c r="A5237" t="str">
        <f>"28/05/2003"</f>
        <v>28/05/2003</v>
      </c>
      <c r="B5237">
        <v>1</v>
      </c>
      <c r="C5237">
        <v>9500</v>
      </c>
      <c r="D5237">
        <v>7384</v>
      </c>
      <c r="E5237">
        <v>7384</v>
      </c>
      <c r="F5237">
        <v>7384</v>
      </c>
      <c r="G5237" s="1">
        <v>8.5000000000000006E-2</v>
      </c>
      <c r="H5237" s="1">
        <v>8.5000000000000006E-2</v>
      </c>
      <c r="I5237" s="1">
        <v>8.5000000000000006E-2</v>
      </c>
      <c r="J5237" s="1">
        <v>1</v>
      </c>
    </row>
    <row r="5238" spans="1:10" x14ac:dyDescent="0.2">
      <c r="A5238" t="str">
        <f>"27/05/2003"</f>
        <v>27/05/2003</v>
      </c>
      <c r="B5238">
        <v>1</v>
      </c>
      <c r="C5238">
        <v>9000</v>
      </c>
      <c r="D5238">
        <v>76771</v>
      </c>
      <c r="E5238">
        <v>9000</v>
      </c>
      <c r="F5238">
        <v>9000</v>
      </c>
      <c r="G5238" s="1">
        <v>8.5000000000000006E-2</v>
      </c>
      <c r="H5238" s="1">
        <v>8.5000000000000006E-2</v>
      </c>
      <c r="I5238" s="1">
        <v>8.5000000000000006E-2</v>
      </c>
      <c r="J5238" s="1">
        <v>0.1164</v>
      </c>
    </row>
    <row r="5239" spans="1:10" x14ac:dyDescent="0.2">
      <c r="A5239" t="str">
        <f>"26/05/2003"</f>
        <v>26/05/2003</v>
      </c>
      <c r="B5239">
        <v>1</v>
      </c>
      <c r="C5239">
        <v>9000</v>
      </c>
      <c r="D5239">
        <v>111171</v>
      </c>
      <c r="E5239">
        <v>9000</v>
      </c>
      <c r="F5239">
        <v>9000</v>
      </c>
      <c r="G5239" s="1">
        <v>8.5000000000000006E-2</v>
      </c>
      <c r="H5239" s="1">
        <v>8.4900000000000003E-2</v>
      </c>
      <c r="I5239" s="1">
        <v>8.4900000000000003E-2</v>
      </c>
      <c r="J5239" s="1">
        <v>7.1999999999999995E-2</v>
      </c>
    </row>
    <row r="5240" spans="1:10" x14ac:dyDescent="0.2">
      <c r="A5240" t="str">
        <f>"25/05/2003"</f>
        <v>25/05/2003</v>
      </c>
      <c r="B5240">
        <v>1</v>
      </c>
      <c r="C5240">
        <v>7500</v>
      </c>
      <c r="D5240">
        <v>95241</v>
      </c>
      <c r="E5240">
        <v>7500</v>
      </c>
      <c r="F5240">
        <v>7500</v>
      </c>
      <c r="G5240" s="1">
        <v>8.5000000000000006E-2</v>
      </c>
      <c r="H5240" s="1">
        <v>8.4900000000000003E-2</v>
      </c>
      <c r="I5240" s="1">
        <v>8.4900000000000003E-2</v>
      </c>
      <c r="J5240" s="1">
        <v>7.3200000000000001E-2</v>
      </c>
    </row>
    <row r="5241" spans="1:10" x14ac:dyDescent="0.2">
      <c r="A5241" t="str">
        <f>"22/05/2003"</f>
        <v>22/05/2003</v>
      </c>
      <c r="B5241">
        <v>3</v>
      </c>
      <c r="C5241">
        <v>7500</v>
      </c>
      <c r="D5241">
        <v>96028</v>
      </c>
      <c r="E5241">
        <v>7500</v>
      </c>
      <c r="F5241">
        <v>7500</v>
      </c>
      <c r="G5241" s="1">
        <v>8.5000000000000006E-2</v>
      </c>
      <c r="H5241" s="1">
        <v>8.4900000000000003E-2</v>
      </c>
      <c r="I5241" s="1">
        <v>8.4900000000000003E-2</v>
      </c>
      <c r="J5241" s="1">
        <v>7.2599999999999998E-2</v>
      </c>
    </row>
    <row r="5242" spans="1:10" x14ac:dyDescent="0.2">
      <c r="A5242" t="str">
        <f>"21/05/2003"</f>
        <v>21/05/2003</v>
      </c>
      <c r="B5242">
        <v>1</v>
      </c>
      <c r="C5242">
        <v>8000</v>
      </c>
      <c r="D5242">
        <v>115483</v>
      </c>
      <c r="E5242">
        <v>8000</v>
      </c>
      <c r="F5242">
        <v>8000</v>
      </c>
      <c r="G5242" s="1">
        <v>8.5000000000000006E-2</v>
      </c>
      <c r="H5242" s="1">
        <v>8.5000000000000006E-2</v>
      </c>
      <c r="I5242" s="1">
        <v>8.5000000000000006E-2</v>
      </c>
      <c r="J5242" s="1">
        <v>6.88E-2</v>
      </c>
    </row>
    <row r="5243" spans="1:10" x14ac:dyDescent="0.2">
      <c r="A5243" t="str">
        <f>"20/05/2003"</f>
        <v>20/05/2003</v>
      </c>
      <c r="B5243">
        <v>1</v>
      </c>
      <c r="C5243">
        <v>9500</v>
      </c>
      <c r="D5243">
        <v>125811</v>
      </c>
      <c r="E5243">
        <v>9500</v>
      </c>
      <c r="F5243">
        <v>9500</v>
      </c>
      <c r="G5243" s="1">
        <v>8.5000000000000006E-2</v>
      </c>
      <c r="H5243" s="1">
        <v>8.4900000000000003E-2</v>
      </c>
      <c r="I5243" s="1">
        <v>8.4900000000000003E-2</v>
      </c>
      <c r="J5243" s="1">
        <v>7.1400000000000005E-2</v>
      </c>
    </row>
    <row r="5244" spans="1:10" x14ac:dyDescent="0.2">
      <c r="A5244" t="str">
        <f>"19/05/2003"</f>
        <v>19/05/2003</v>
      </c>
      <c r="B5244">
        <v>1</v>
      </c>
      <c r="C5244">
        <v>9500</v>
      </c>
      <c r="D5244">
        <v>127633</v>
      </c>
      <c r="E5244">
        <v>9500</v>
      </c>
      <c r="F5244">
        <v>9500</v>
      </c>
      <c r="G5244" s="1">
        <v>8.5000000000000006E-2</v>
      </c>
      <c r="H5244" s="1">
        <v>8.5000000000000006E-2</v>
      </c>
      <c r="I5244" s="1">
        <v>8.5000000000000006E-2</v>
      </c>
      <c r="J5244" s="1">
        <v>7.3999999999999996E-2</v>
      </c>
    </row>
    <row r="5245" spans="1:10" x14ac:dyDescent="0.2">
      <c r="A5245" t="str">
        <f>"18/05/2003"</f>
        <v>18/05/2003</v>
      </c>
      <c r="B5245">
        <v>1</v>
      </c>
      <c r="C5245">
        <v>14000</v>
      </c>
      <c r="D5245">
        <v>142870</v>
      </c>
      <c r="E5245">
        <v>14000</v>
      </c>
      <c r="F5245">
        <v>14000</v>
      </c>
      <c r="G5245" s="1">
        <v>8.5000000000000006E-2</v>
      </c>
      <c r="H5245" s="1">
        <v>8.5000000000000006E-2</v>
      </c>
      <c r="I5245" s="1">
        <v>8.5000000000000006E-2</v>
      </c>
      <c r="J5245" s="1">
        <v>9.7500000000000003E-2</v>
      </c>
    </row>
    <row r="5246" spans="1:10" x14ac:dyDescent="0.2">
      <c r="A5246" t="str">
        <f>"14/05/2003"</f>
        <v>14/05/2003</v>
      </c>
      <c r="B5246">
        <v>4</v>
      </c>
      <c r="C5246">
        <v>16000</v>
      </c>
      <c r="D5246">
        <v>208572</v>
      </c>
      <c r="E5246">
        <v>16000</v>
      </c>
      <c r="F5246">
        <v>16000</v>
      </c>
      <c r="G5246" s="1">
        <v>8.5000000000000006E-2</v>
      </c>
      <c r="H5246" s="1">
        <v>8.5000000000000006E-2</v>
      </c>
      <c r="I5246" s="1">
        <v>8.5000000000000006E-2</v>
      </c>
      <c r="J5246" s="1">
        <v>7.6399999999999996E-2</v>
      </c>
    </row>
    <row r="5247" spans="1:10" x14ac:dyDescent="0.2">
      <c r="A5247" t="str">
        <f>"13/05/2003"</f>
        <v>13/05/2003</v>
      </c>
      <c r="B5247">
        <v>1</v>
      </c>
      <c r="C5247">
        <v>16000</v>
      </c>
      <c r="D5247">
        <v>211672</v>
      </c>
      <c r="E5247">
        <v>16000</v>
      </c>
      <c r="F5247">
        <v>16000</v>
      </c>
      <c r="G5247" s="1">
        <v>8.5000000000000006E-2</v>
      </c>
      <c r="H5247" s="1">
        <v>8.5000000000000006E-2</v>
      </c>
      <c r="I5247" s="1">
        <v>8.5000000000000006E-2</v>
      </c>
      <c r="J5247" s="1">
        <v>7.5300000000000006E-2</v>
      </c>
    </row>
    <row r="5248" spans="1:10" x14ac:dyDescent="0.2">
      <c r="A5248" t="str">
        <f>"12/05/2003"</f>
        <v>12/05/2003</v>
      </c>
      <c r="B5248">
        <v>1</v>
      </c>
      <c r="C5248">
        <v>16000</v>
      </c>
      <c r="D5248">
        <v>207546</v>
      </c>
      <c r="E5248">
        <v>16000</v>
      </c>
      <c r="F5248">
        <v>16000</v>
      </c>
      <c r="G5248" s="1">
        <v>8.5000000000000006E-2</v>
      </c>
      <c r="H5248" s="1">
        <v>8.5000000000000006E-2</v>
      </c>
      <c r="I5248" s="1">
        <v>8.5000000000000006E-2</v>
      </c>
      <c r="J5248" s="1">
        <v>7.6799999999999993E-2</v>
      </c>
    </row>
    <row r="5249" spans="1:10" x14ac:dyDescent="0.2">
      <c r="A5249" t="str">
        <f>"11/05/2003"</f>
        <v>11/05/2003</v>
      </c>
      <c r="B5249">
        <v>1</v>
      </c>
      <c r="C5249">
        <v>16000</v>
      </c>
      <c r="D5249">
        <v>233746</v>
      </c>
      <c r="E5249">
        <v>16000</v>
      </c>
      <c r="F5249">
        <v>16000</v>
      </c>
      <c r="G5249" s="1">
        <v>8.5000000000000006E-2</v>
      </c>
      <c r="H5249" s="1">
        <v>8.5000000000000006E-2</v>
      </c>
      <c r="I5249" s="1">
        <v>8.5000000000000006E-2</v>
      </c>
      <c r="J5249" s="1">
        <v>6.8199999999999997E-2</v>
      </c>
    </row>
    <row r="5250" spans="1:10" x14ac:dyDescent="0.2">
      <c r="A5250" t="str">
        <f>"08/05/2003"</f>
        <v>08/05/2003</v>
      </c>
      <c r="B5250">
        <v>3</v>
      </c>
      <c r="C5250">
        <v>14000</v>
      </c>
      <c r="D5250">
        <v>193569</v>
      </c>
      <c r="E5250">
        <v>14000</v>
      </c>
      <c r="F5250">
        <v>14000</v>
      </c>
      <c r="G5250" s="1">
        <v>8.5000000000000006E-2</v>
      </c>
      <c r="H5250" s="1">
        <v>8.5000000000000006E-2</v>
      </c>
      <c r="I5250" s="1">
        <v>8.5000000000000006E-2</v>
      </c>
      <c r="J5250" s="1">
        <v>7.1999999999999995E-2</v>
      </c>
    </row>
    <row r="5251" spans="1:10" x14ac:dyDescent="0.2">
      <c r="A5251" t="str">
        <f>"06/05/2003"</f>
        <v>06/05/2003</v>
      </c>
      <c r="B5251">
        <v>2</v>
      </c>
      <c r="C5251">
        <v>14000</v>
      </c>
      <c r="D5251">
        <v>155565</v>
      </c>
      <c r="E5251">
        <v>14000</v>
      </c>
      <c r="F5251">
        <v>14000</v>
      </c>
      <c r="G5251" s="1">
        <v>8.5000000000000006E-2</v>
      </c>
      <c r="H5251" s="1">
        <v>8.5000000000000006E-2</v>
      </c>
      <c r="I5251" s="1">
        <v>8.5000000000000006E-2</v>
      </c>
      <c r="J5251" s="1">
        <v>8.9300000000000004E-2</v>
      </c>
    </row>
    <row r="5252" spans="1:10" x14ac:dyDescent="0.2">
      <c r="A5252" t="str">
        <f>"05/05/2003"</f>
        <v>05/05/2003</v>
      </c>
      <c r="B5252">
        <v>1</v>
      </c>
      <c r="C5252">
        <v>16000</v>
      </c>
      <c r="D5252">
        <v>179004</v>
      </c>
      <c r="E5252">
        <v>16000</v>
      </c>
      <c r="F5252">
        <v>16000</v>
      </c>
      <c r="G5252" s="1">
        <v>8.5000000000000006E-2</v>
      </c>
      <c r="H5252" s="1">
        <v>8.5000000000000006E-2</v>
      </c>
      <c r="I5252" s="1">
        <v>8.5000000000000006E-2</v>
      </c>
      <c r="J5252" s="1">
        <v>8.8800000000000004E-2</v>
      </c>
    </row>
    <row r="5253" spans="1:10" x14ac:dyDescent="0.2">
      <c r="A5253" t="str">
        <f>"04/05/2003"</f>
        <v>04/05/2003</v>
      </c>
      <c r="B5253">
        <v>1</v>
      </c>
      <c r="C5253">
        <v>17000</v>
      </c>
      <c r="D5253">
        <v>136163</v>
      </c>
      <c r="E5253">
        <v>17000</v>
      </c>
      <c r="F5253">
        <v>17000</v>
      </c>
      <c r="G5253" s="1">
        <v>8.5000000000000006E-2</v>
      </c>
      <c r="H5253" s="1">
        <v>8.5000000000000006E-2</v>
      </c>
      <c r="I5253" s="1">
        <v>8.5000000000000006E-2</v>
      </c>
      <c r="J5253" s="1">
        <v>0.1241</v>
      </c>
    </row>
    <row r="5254" spans="1:10" x14ac:dyDescent="0.2">
      <c r="A5254" t="str">
        <f>"02/05/2003"</f>
        <v>02/05/2003</v>
      </c>
      <c r="B5254">
        <v>2</v>
      </c>
      <c r="C5254">
        <v>15000</v>
      </c>
      <c r="D5254">
        <v>90907</v>
      </c>
      <c r="E5254">
        <v>15000</v>
      </c>
      <c r="F5254">
        <v>15000</v>
      </c>
      <c r="G5254" s="1">
        <v>8.5000000000000006E-2</v>
      </c>
      <c r="H5254" s="1">
        <v>8.5000000000000006E-2</v>
      </c>
      <c r="I5254" s="1">
        <v>8.5000000000000006E-2</v>
      </c>
      <c r="J5254" s="1">
        <v>0.16400000000000001</v>
      </c>
    </row>
    <row r="5255" spans="1:10" x14ac:dyDescent="0.2">
      <c r="A5255" t="str">
        <f>"29/04/2003"</f>
        <v>29/04/2003</v>
      </c>
      <c r="B5255">
        <v>3</v>
      </c>
      <c r="C5255">
        <v>9000</v>
      </c>
      <c r="D5255">
        <v>7488</v>
      </c>
      <c r="E5255">
        <v>7488</v>
      </c>
      <c r="F5255">
        <v>7488</v>
      </c>
      <c r="G5255" s="1">
        <v>9.7000000000000003E-2</v>
      </c>
      <c r="H5255" s="1">
        <v>9.3200000000000005E-2</v>
      </c>
      <c r="I5255" s="1">
        <v>9.3200000000000005E-2</v>
      </c>
      <c r="J5255" s="1">
        <v>1</v>
      </c>
    </row>
    <row r="5256" spans="1:10" x14ac:dyDescent="0.2">
      <c r="A5256" t="str">
        <f>"28/04/2003"</f>
        <v>28/04/2003</v>
      </c>
      <c r="B5256">
        <v>1</v>
      </c>
      <c r="C5256">
        <v>9500</v>
      </c>
      <c r="D5256">
        <v>93379</v>
      </c>
      <c r="E5256">
        <v>9500</v>
      </c>
      <c r="F5256">
        <v>9500</v>
      </c>
      <c r="G5256" s="1">
        <v>8.7999999999999995E-2</v>
      </c>
      <c r="H5256" s="1">
        <v>8.7999999999999995E-2</v>
      </c>
      <c r="I5256" s="1">
        <v>8.7999999999999995E-2</v>
      </c>
      <c r="J5256" s="1">
        <v>0.10100000000000001</v>
      </c>
    </row>
    <row r="5257" spans="1:10" x14ac:dyDescent="0.2">
      <c r="A5257" t="str">
        <f>"27/04/2003"</f>
        <v>27/04/2003</v>
      </c>
      <c r="B5257">
        <v>1</v>
      </c>
      <c r="C5257">
        <v>9500</v>
      </c>
      <c r="D5257">
        <v>75666</v>
      </c>
      <c r="E5257">
        <v>9500</v>
      </c>
      <c r="F5257">
        <v>9500</v>
      </c>
      <c r="G5257" s="1">
        <v>8.7999999999999995E-2</v>
      </c>
      <c r="H5257" s="1">
        <v>8.7999999999999995E-2</v>
      </c>
      <c r="I5257" s="1">
        <v>8.7999999999999995E-2</v>
      </c>
      <c r="J5257" s="1">
        <v>0.12470000000000001</v>
      </c>
    </row>
    <row r="5258" spans="1:10" x14ac:dyDescent="0.2">
      <c r="A5258" t="str">
        <f>"24/04/2003"</f>
        <v>24/04/2003</v>
      </c>
      <c r="B5258">
        <v>3</v>
      </c>
      <c r="C5258">
        <v>9000</v>
      </c>
      <c r="D5258">
        <v>77678</v>
      </c>
      <c r="E5258">
        <v>9000</v>
      </c>
      <c r="F5258">
        <v>9000</v>
      </c>
      <c r="G5258" s="1">
        <v>8.7999999999999995E-2</v>
      </c>
      <c r="H5258" s="1">
        <v>8.7900000000000006E-2</v>
      </c>
      <c r="I5258" s="1">
        <v>8.7900000000000006E-2</v>
      </c>
      <c r="J5258" s="1">
        <v>0.10920000000000001</v>
      </c>
    </row>
    <row r="5259" spans="1:10" x14ac:dyDescent="0.2">
      <c r="A5259" t="str">
        <f>"22/04/2003"</f>
        <v>22/04/2003</v>
      </c>
      <c r="B5259">
        <v>2</v>
      </c>
      <c r="C5259">
        <v>9500</v>
      </c>
      <c r="D5259">
        <v>123882</v>
      </c>
      <c r="E5259">
        <v>9500</v>
      </c>
      <c r="F5259">
        <v>9500</v>
      </c>
      <c r="G5259" s="1">
        <v>8.7999999999999995E-2</v>
      </c>
      <c r="H5259" s="1">
        <v>8.7999999999999995E-2</v>
      </c>
      <c r="I5259" s="1">
        <v>8.7999999999999995E-2</v>
      </c>
      <c r="J5259" s="1">
        <v>7.6100000000000001E-2</v>
      </c>
    </row>
    <row r="5260" spans="1:10" x14ac:dyDescent="0.2">
      <c r="A5260" t="str">
        <f>"21/04/2003"</f>
        <v>21/04/2003</v>
      </c>
      <c r="B5260">
        <v>1</v>
      </c>
      <c r="C5260">
        <v>10500</v>
      </c>
      <c r="D5260">
        <v>143282</v>
      </c>
      <c r="E5260">
        <v>10500</v>
      </c>
      <c r="F5260">
        <v>10500</v>
      </c>
      <c r="G5260" s="1">
        <v>8.7999999999999995E-2</v>
      </c>
      <c r="H5260" s="1">
        <v>8.7999999999999995E-2</v>
      </c>
      <c r="I5260" s="1">
        <v>8.7999999999999995E-2</v>
      </c>
      <c r="J5260" s="1">
        <v>7.2800000000000004E-2</v>
      </c>
    </row>
    <row r="5261" spans="1:10" x14ac:dyDescent="0.2">
      <c r="A5261" t="str">
        <f>"20/04/2003"</f>
        <v>20/04/2003</v>
      </c>
      <c r="B5261">
        <v>1</v>
      </c>
      <c r="C5261">
        <v>7000</v>
      </c>
      <c r="D5261">
        <v>110482</v>
      </c>
      <c r="E5261">
        <v>7000</v>
      </c>
      <c r="F5261">
        <v>7000</v>
      </c>
      <c r="G5261" s="1">
        <v>8.7999999999999995E-2</v>
      </c>
      <c r="H5261" s="1">
        <v>8.7900000000000006E-2</v>
      </c>
      <c r="I5261" s="1">
        <v>8.7900000000000006E-2</v>
      </c>
      <c r="J5261" s="1">
        <v>5.8400000000000001E-2</v>
      </c>
    </row>
    <row r="5262" spans="1:10" x14ac:dyDescent="0.2">
      <c r="A5262" t="str">
        <f>"15/04/2003"</f>
        <v>15/04/2003</v>
      </c>
      <c r="B5262">
        <v>5</v>
      </c>
      <c r="C5262">
        <v>7500</v>
      </c>
      <c r="D5262">
        <v>101379</v>
      </c>
      <c r="E5262">
        <v>7500</v>
      </c>
      <c r="F5262">
        <v>7500</v>
      </c>
      <c r="G5262" s="1">
        <v>8.7999999999999995E-2</v>
      </c>
      <c r="H5262" s="1">
        <v>8.7900000000000006E-2</v>
      </c>
      <c r="I5262" s="1">
        <v>8.7900000000000006E-2</v>
      </c>
      <c r="J5262" s="1">
        <v>6.8699999999999997E-2</v>
      </c>
    </row>
    <row r="5263" spans="1:10" x14ac:dyDescent="0.2">
      <c r="A5263" t="str">
        <f>"15/04/2003"</f>
        <v>15/04/2003</v>
      </c>
      <c r="B5263">
        <v>1</v>
      </c>
      <c r="C5263">
        <v>9000</v>
      </c>
      <c r="D5263">
        <v>113501</v>
      </c>
      <c r="E5263">
        <v>9000</v>
      </c>
      <c r="F5263">
        <v>9000</v>
      </c>
      <c r="G5263" s="1">
        <v>8.7999999999999995E-2</v>
      </c>
      <c r="H5263" s="1">
        <v>8.7999999999999995E-2</v>
      </c>
      <c r="I5263" s="1">
        <v>8.7999999999999995E-2</v>
      </c>
      <c r="J5263" s="1">
        <v>7.9299999999999995E-2</v>
      </c>
    </row>
    <row r="5264" spans="1:10" x14ac:dyDescent="0.2">
      <c r="A5264" t="str">
        <f>"14/04/2003"</f>
        <v>14/04/2003</v>
      </c>
      <c r="B5264">
        <v>1</v>
      </c>
      <c r="C5264">
        <v>16500</v>
      </c>
      <c r="D5264">
        <v>259140</v>
      </c>
      <c r="E5264">
        <v>16500</v>
      </c>
      <c r="F5264">
        <v>16500</v>
      </c>
      <c r="G5264" s="1">
        <v>8.7999999999999995E-2</v>
      </c>
      <c r="H5264" s="1">
        <v>8.7999999999999995E-2</v>
      </c>
      <c r="I5264" s="1">
        <v>8.7999999999999995E-2</v>
      </c>
      <c r="J5264" s="1">
        <v>6.1499999999999999E-2</v>
      </c>
    </row>
    <row r="5265" spans="1:10" x14ac:dyDescent="0.2">
      <c r="A5265" t="str">
        <f>"13/04/2003"</f>
        <v>13/04/2003</v>
      </c>
      <c r="B5265">
        <v>1</v>
      </c>
      <c r="C5265">
        <v>16500</v>
      </c>
      <c r="D5265">
        <v>270591</v>
      </c>
      <c r="E5265">
        <v>16500</v>
      </c>
      <c r="F5265">
        <v>16500</v>
      </c>
      <c r="G5265" s="1">
        <v>8.7999999999999995E-2</v>
      </c>
      <c r="H5265" s="1">
        <v>8.7999999999999995E-2</v>
      </c>
      <c r="I5265" s="1">
        <v>8.7999999999999995E-2</v>
      </c>
      <c r="J5265" s="1">
        <v>5.8900000000000001E-2</v>
      </c>
    </row>
    <row r="5266" spans="1:10" x14ac:dyDescent="0.2">
      <c r="A5266" t="str">
        <f>"10/04/2003"</f>
        <v>10/04/2003</v>
      </c>
      <c r="B5266">
        <v>3</v>
      </c>
      <c r="C5266">
        <v>16500</v>
      </c>
      <c r="D5266">
        <v>260386</v>
      </c>
      <c r="E5266">
        <v>16500</v>
      </c>
      <c r="F5266">
        <v>16500</v>
      </c>
      <c r="G5266" s="1">
        <v>8.7999999999999995E-2</v>
      </c>
      <c r="H5266" s="1">
        <v>8.7999999999999995E-2</v>
      </c>
      <c r="I5266" s="1">
        <v>8.7999999999999995E-2</v>
      </c>
      <c r="J5266" s="1">
        <v>6.2E-2</v>
      </c>
    </row>
    <row r="5267" spans="1:10" x14ac:dyDescent="0.2">
      <c r="A5267" t="str">
        <f>"09/04/2003"</f>
        <v>09/04/2003</v>
      </c>
      <c r="B5267">
        <v>1</v>
      </c>
      <c r="C5267">
        <v>15000</v>
      </c>
      <c r="D5267">
        <v>227287</v>
      </c>
      <c r="E5267">
        <v>15000</v>
      </c>
      <c r="F5267">
        <v>15000</v>
      </c>
      <c r="G5267" s="1">
        <v>8.7999999999999995E-2</v>
      </c>
      <c r="H5267" s="1">
        <v>8.7999999999999995E-2</v>
      </c>
      <c r="I5267" s="1">
        <v>8.7999999999999995E-2</v>
      </c>
      <c r="J5267" s="1">
        <v>6.5600000000000006E-2</v>
      </c>
    </row>
    <row r="5268" spans="1:10" x14ac:dyDescent="0.2">
      <c r="A5268" t="str">
        <f>"08/04/2003"</f>
        <v>08/04/2003</v>
      </c>
      <c r="B5268">
        <v>1</v>
      </c>
      <c r="C5268">
        <v>17000</v>
      </c>
      <c r="D5268">
        <v>257887</v>
      </c>
      <c r="E5268">
        <v>17000</v>
      </c>
      <c r="F5268">
        <v>17000</v>
      </c>
      <c r="G5268" s="1">
        <v>8.7999999999999995E-2</v>
      </c>
      <c r="H5268" s="1">
        <v>8.7999999999999995E-2</v>
      </c>
      <c r="I5268" s="1">
        <v>8.7999999999999995E-2</v>
      </c>
      <c r="J5268" s="1">
        <v>6.5600000000000006E-2</v>
      </c>
    </row>
    <row r="5269" spans="1:10" x14ac:dyDescent="0.2">
      <c r="A5269" t="str">
        <f>"07/04/2003"</f>
        <v>07/04/2003</v>
      </c>
      <c r="B5269">
        <v>1</v>
      </c>
      <c r="C5269">
        <v>18000</v>
      </c>
      <c r="D5269">
        <v>293887</v>
      </c>
      <c r="E5269">
        <v>18000</v>
      </c>
      <c r="F5269">
        <v>18000</v>
      </c>
      <c r="G5269" s="1">
        <v>8.7999999999999995E-2</v>
      </c>
      <c r="H5269" s="1">
        <v>8.7999999999999995E-2</v>
      </c>
      <c r="I5269" s="1">
        <v>8.7999999999999995E-2</v>
      </c>
      <c r="J5269" s="1">
        <v>6.0999999999999999E-2</v>
      </c>
    </row>
    <row r="5270" spans="1:10" x14ac:dyDescent="0.2">
      <c r="A5270" t="str">
        <f>"06/04/2003"</f>
        <v>06/04/2003</v>
      </c>
      <c r="B5270">
        <v>1</v>
      </c>
      <c r="C5270">
        <v>17000</v>
      </c>
      <c r="D5270">
        <v>278088</v>
      </c>
      <c r="E5270">
        <v>17000</v>
      </c>
      <c r="F5270">
        <v>17000</v>
      </c>
      <c r="G5270" s="1">
        <v>8.7999999999999995E-2</v>
      </c>
      <c r="H5270" s="1">
        <v>8.7999999999999995E-2</v>
      </c>
      <c r="I5270" s="1">
        <v>8.7999999999999995E-2</v>
      </c>
      <c r="J5270" s="1">
        <v>6.08E-2</v>
      </c>
    </row>
    <row r="5271" spans="1:10" x14ac:dyDescent="0.2">
      <c r="A5271" t="str">
        <f>"03/04/2003"</f>
        <v>03/04/2003</v>
      </c>
      <c r="B5271">
        <v>3</v>
      </c>
      <c r="C5271">
        <v>16000</v>
      </c>
      <c r="D5271">
        <v>248587</v>
      </c>
      <c r="E5271">
        <v>16000</v>
      </c>
      <c r="F5271">
        <v>16000</v>
      </c>
      <c r="G5271" s="1">
        <v>8.7999999999999995E-2</v>
      </c>
      <c r="H5271" s="1">
        <v>8.7999999999999995E-2</v>
      </c>
      <c r="I5271" s="1">
        <v>8.7999999999999995E-2</v>
      </c>
      <c r="J5271" s="1">
        <v>6.4000000000000001E-2</v>
      </c>
    </row>
    <row r="5272" spans="1:10" x14ac:dyDescent="0.2">
      <c r="A5272" t="str">
        <f>"02/04/2003"</f>
        <v>02/04/2003</v>
      </c>
      <c r="B5272">
        <v>1</v>
      </c>
      <c r="C5272">
        <v>17000</v>
      </c>
      <c r="D5272">
        <v>236534</v>
      </c>
      <c r="E5272">
        <v>17000</v>
      </c>
      <c r="F5272">
        <v>17000</v>
      </c>
      <c r="G5272" s="1">
        <v>8.7999999999999995E-2</v>
      </c>
      <c r="H5272" s="1">
        <v>8.7999999999999995E-2</v>
      </c>
      <c r="I5272" s="1">
        <v>8.7999999999999995E-2</v>
      </c>
      <c r="J5272" s="1">
        <v>7.1599999999999997E-2</v>
      </c>
    </row>
    <row r="5273" spans="1:10" x14ac:dyDescent="0.2">
      <c r="A5273" t="str">
        <f>"01/04/2003"</f>
        <v>01/04/2003</v>
      </c>
      <c r="B5273">
        <v>1</v>
      </c>
      <c r="C5273">
        <v>12500</v>
      </c>
      <c r="D5273">
        <v>184396</v>
      </c>
      <c r="E5273">
        <v>12500</v>
      </c>
      <c r="F5273">
        <v>12500</v>
      </c>
      <c r="G5273" s="1">
        <v>8.7999999999999995E-2</v>
      </c>
      <c r="H5273" s="1">
        <v>8.7999999999999995E-2</v>
      </c>
      <c r="I5273" s="1">
        <v>8.7999999999999995E-2</v>
      </c>
      <c r="J5273" s="1">
        <v>6.7400000000000002E-2</v>
      </c>
    </row>
    <row r="5274" spans="1:10" x14ac:dyDescent="0.2">
      <c r="A5274" t="str">
        <f>"31/03/2003"</f>
        <v>31/03/2003</v>
      </c>
      <c r="B5274">
        <v>1</v>
      </c>
      <c r="C5274">
        <v>10000</v>
      </c>
      <c r="D5274">
        <v>12615</v>
      </c>
      <c r="E5274">
        <v>10000</v>
      </c>
      <c r="F5274">
        <v>10000</v>
      </c>
      <c r="G5274" s="1">
        <v>9.7000000000000003E-2</v>
      </c>
      <c r="H5274" s="1">
        <v>9.3200000000000005E-2</v>
      </c>
      <c r="I5274" s="1">
        <v>9.3200000000000005E-2</v>
      </c>
      <c r="J5274" s="1">
        <v>0.41239999999999999</v>
      </c>
    </row>
    <row r="5275" spans="1:10" x14ac:dyDescent="0.2">
      <c r="A5275" t="str">
        <f>"30/03/2003"</f>
        <v>30/03/2003</v>
      </c>
      <c r="B5275">
        <v>1</v>
      </c>
      <c r="C5275">
        <v>10000</v>
      </c>
      <c r="D5275">
        <v>116675</v>
      </c>
      <c r="E5275">
        <v>10000</v>
      </c>
      <c r="F5275">
        <v>10000</v>
      </c>
      <c r="G5275" s="1">
        <v>8.7999999999999995E-2</v>
      </c>
      <c r="H5275" s="1">
        <v>8.7999999999999995E-2</v>
      </c>
      <c r="I5275" s="1">
        <v>8.7999999999999995E-2</v>
      </c>
      <c r="J5275" s="1">
        <v>8.5099999999999995E-2</v>
      </c>
    </row>
    <row r="5276" spans="1:10" x14ac:dyDescent="0.2">
      <c r="A5276" t="str">
        <f>"27/03/2003"</f>
        <v>27/03/2003</v>
      </c>
      <c r="B5276">
        <v>3</v>
      </c>
      <c r="C5276">
        <v>8500</v>
      </c>
      <c r="D5276">
        <v>90276</v>
      </c>
      <c r="E5276">
        <v>8500</v>
      </c>
      <c r="F5276">
        <v>8500</v>
      </c>
      <c r="G5276" s="1">
        <v>8.7999999999999995E-2</v>
      </c>
      <c r="H5276" s="1">
        <v>8.7999999999999995E-2</v>
      </c>
      <c r="I5276" s="1">
        <v>8.7999999999999995E-2</v>
      </c>
      <c r="J5276" s="1">
        <v>9.3399999999999997E-2</v>
      </c>
    </row>
    <row r="5277" spans="1:10" x14ac:dyDescent="0.2">
      <c r="A5277" t="str">
        <f>"26/03/2003"</f>
        <v>26/03/2003</v>
      </c>
      <c r="B5277">
        <v>1</v>
      </c>
      <c r="C5277">
        <v>6000</v>
      </c>
      <c r="D5277">
        <v>5544</v>
      </c>
      <c r="E5277">
        <v>5544</v>
      </c>
      <c r="F5277">
        <v>5544</v>
      </c>
      <c r="G5277" s="1">
        <v>9.9000000000000005E-2</v>
      </c>
      <c r="H5277" s="1">
        <v>9.5399999999999999E-2</v>
      </c>
      <c r="I5277" s="1">
        <v>9.5399999999999999E-2</v>
      </c>
      <c r="J5277" s="1">
        <v>1</v>
      </c>
    </row>
    <row r="5278" spans="1:10" x14ac:dyDescent="0.2">
      <c r="A5278" t="str">
        <f>"25/03/2003"</f>
        <v>25/03/2003</v>
      </c>
      <c r="B5278">
        <v>1</v>
      </c>
      <c r="C5278">
        <v>6500</v>
      </c>
      <c r="D5278">
        <v>62579</v>
      </c>
      <c r="E5278">
        <v>6500</v>
      </c>
      <c r="F5278">
        <v>6500</v>
      </c>
      <c r="G5278" s="1">
        <v>0.09</v>
      </c>
      <c r="H5278" s="1">
        <v>0.09</v>
      </c>
      <c r="I5278" s="1">
        <v>0.09</v>
      </c>
      <c r="J5278" s="1">
        <v>0.1027</v>
      </c>
    </row>
    <row r="5279" spans="1:10" x14ac:dyDescent="0.2">
      <c r="A5279" t="str">
        <f>"24/03/2003"</f>
        <v>24/03/2003</v>
      </c>
      <c r="B5279">
        <v>1</v>
      </c>
      <c r="C5279">
        <v>7000</v>
      </c>
      <c r="D5279">
        <v>90928</v>
      </c>
      <c r="E5279">
        <v>7000</v>
      </c>
      <c r="F5279">
        <v>7000</v>
      </c>
      <c r="G5279" s="1">
        <v>0.09</v>
      </c>
      <c r="H5279" s="1">
        <v>0.09</v>
      </c>
      <c r="I5279" s="1">
        <v>0.09</v>
      </c>
      <c r="J5279" s="1">
        <v>7.6200000000000004E-2</v>
      </c>
    </row>
    <row r="5280" spans="1:10" x14ac:dyDescent="0.2">
      <c r="A5280" t="str">
        <f>"23/03/2003"</f>
        <v>23/03/2003</v>
      </c>
      <c r="B5280">
        <v>1</v>
      </c>
      <c r="C5280">
        <v>7000</v>
      </c>
      <c r="D5280">
        <v>87079</v>
      </c>
      <c r="E5280">
        <v>7000</v>
      </c>
      <c r="F5280">
        <v>7000</v>
      </c>
      <c r="G5280" s="1">
        <v>0.09</v>
      </c>
      <c r="H5280" s="1">
        <v>0.09</v>
      </c>
      <c r="I5280" s="1">
        <v>0.09</v>
      </c>
      <c r="J5280" s="1">
        <v>7.9600000000000004E-2</v>
      </c>
    </row>
    <row r="5281" spans="1:10" x14ac:dyDescent="0.2">
      <c r="A5281" t="str">
        <f>"20/03/2003"</f>
        <v>20/03/2003</v>
      </c>
      <c r="B5281">
        <v>3</v>
      </c>
      <c r="C5281">
        <v>10000</v>
      </c>
      <c r="D5281">
        <v>139176</v>
      </c>
      <c r="E5281">
        <v>10000</v>
      </c>
      <c r="F5281">
        <v>10000</v>
      </c>
      <c r="G5281" s="1">
        <v>0.09</v>
      </c>
      <c r="H5281" s="1">
        <v>0.09</v>
      </c>
      <c r="I5281" s="1">
        <v>0.09</v>
      </c>
      <c r="J5281" s="1">
        <v>7.1300000000000002E-2</v>
      </c>
    </row>
    <row r="5282" spans="1:10" x14ac:dyDescent="0.2">
      <c r="A5282" t="str">
        <f>"17/03/2003"</f>
        <v>17/03/2003</v>
      </c>
      <c r="B5282">
        <v>3</v>
      </c>
      <c r="C5282">
        <v>10000</v>
      </c>
      <c r="D5282">
        <v>165185</v>
      </c>
      <c r="E5282">
        <v>10000</v>
      </c>
      <c r="F5282">
        <v>10000</v>
      </c>
      <c r="G5282" s="1">
        <v>0.09</v>
      </c>
      <c r="H5282" s="1">
        <v>0.09</v>
      </c>
      <c r="I5282" s="1">
        <v>0.09</v>
      </c>
      <c r="J5282" s="1">
        <v>6.0100000000000001E-2</v>
      </c>
    </row>
    <row r="5283" spans="1:10" x14ac:dyDescent="0.2">
      <c r="A5283" t="str">
        <f>"16/03/2003"</f>
        <v>16/03/2003</v>
      </c>
      <c r="B5283">
        <v>1</v>
      </c>
      <c r="C5283">
        <v>18000</v>
      </c>
      <c r="D5283">
        <v>295983</v>
      </c>
      <c r="E5283">
        <v>18000</v>
      </c>
      <c r="F5283">
        <v>18000</v>
      </c>
      <c r="G5283" s="1">
        <v>0.09</v>
      </c>
      <c r="H5283" s="1">
        <v>0.09</v>
      </c>
      <c r="I5283" s="1">
        <v>0.09</v>
      </c>
      <c r="J5283" s="1">
        <v>6.0600000000000001E-2</v>
      </c>
    </row>
    <row r="5284" spans="1:10" x14ac:dyDescent="0.2">
      <c r="A5284" t="str">
        <f>"13/03/2003"</f>
        <v>13/03/2003</v>
      </c>
      <c r="B5284">
        <v>3</v>
      </c>
      <c r="C5284">
        <v>18000</v>
      </c>
      <c r="D5284">
        <v>287083</v>
      </c>
      <c r="E5284">
        <v>18000</v>
      </c>
      <c r="F5284">
        <v>18000</v>
      </c>
      <c r="G5284" s="1">
        <v>0.09</v>
      </c>
      <c r="H5284" s="1">
        <v>0.09</v>
      </c>
      <c r="I5284" s="1">
        <v>0.09</v>
      </c>
      <c r="J5284" s="1">
        <v>6.2399999999999997E-2</v>
      </c>
    </row>
    <row r="5285" spans="1:10" x14ac:dyDescent="0.2">
      <c r="A5285" t="str">
        <f>"12/03/2003"</f>
        <v>12/03/2003</v>
      </c>
      <c r="B5285">
        <v>1</v>
      </c>
      <c r="C5285">
        <v>18000</v>
      </c>
      <c r="D5285">
        <v>286686</v>
      </c>
      <c r="E5285">
        <v>18000</v>
      </c>
      <c r="F5285">
        <v>18000</v>
      </c>
      <c r="G5285" s="1">
        <v>0.09</v>
      </c>
      <c r="H5285" s="1">
        <v>0.09</v>
      </c>
      <c r="I5285" s="1">
        <v>0.09</v>
      </c>
      <c r="J5285" s="1">
        <v>6.25E-2</v>
      </c>
    </row>
    <row r="5286" spans="1:10" x14ac:dyDescent="0.2">
      <c r="A5286" t="str">
        <f>"11/03/2003"</f>
        <v>11/03/2003</v>
      </c>
      <c r="B5286">
        <v>1</v>
      </c>
      <c r="C5286">
        <v>18000</v>
      </c>
      <c r="D5286">
        <v>273286</v>
      </c>
      <c r="E5286">
        <v>18000</v>
      </c>
      <c r="F5286">
        <v>18000</v>
      </c>
      <c r="G5286" s="1">
        <v>0.09</v>
      </c>
      <c r="H5286" s="1">
        <v>0.09</v>
      </c>
      <c r="I5286" s="1">
        <v>0.09</v>
      </c>
      <c r="J5286" s="1">
        <v>6.5600000000000006E-2</v>
      </c>
    </row>
    <row r="5287" spans="1:10" x14ac:dyDescent="0.2">
      <c r="A5287" t="str">
        <f>"10/03/2003"</f>
        <v>10/03/2003</v>
      </c>
      <c r="B5287">
        <v>1</v>
      </c>
      <c r="C5287">
        <v>16000</v>
      </c>
      <c r="D5287">
        <v>255483</v>
      </c>
      <c r="E5287">
        <v>16000</v>
      </c>
      <c r="F5287">
        <v>16000</v>
      </c>
      <c r="G5287" s="1">
        <v>0.09</v>
      </c>
      <c r="H5287" s="1">
        <v>0.09</v>
      </c>
      <c r="I5287" s="1">
        <v>0.09</v>
      </c>
      <c r="J5287" s="1">
        <v>6.2300000000000001E-2</v>
      </c>
    </row>
    <row r="5288" spans="1:10" x14ac:dyDescent="0.2">
      <c r="A5288" t="str">
        <f>"09/03/2003"</f>
        <v>09/03/2003</v>
      </c>
      <c r="B5288">
        <v>1</v>
      </c>
      <c r="C5288">
        <v>16000</v>
      </c>
      <c r="D5288">
        <v>252881</v>
      </c>
      <c r="E5288">
        <v>16000</v>
      </c>
      <c r="F5288">
        <v>16000</v>
      </c>
      <c r="G5288" s="1">
        <v>0.09</v>
      </c>
      <c r="H5288" s="1">
        <v>0.09</v>
      </c>
      <c r="I5288" s="1">
        <v>0.09</v>
      </c>
      <c r="J5288" s="1">
        <v>6.3E-2</v>
      </c>
    </row>
    <row r="5289" spans="1:10" x14ac:dyDescent="0.2">
      <c r="A5289" t="str">
        <f>"06/03/2003"</f>
        <v>06/03/2003</v>
      </c>
      <c r="B5289">
        <v>3</v>
      </c>
      <c r="C5289">
        <v>15500</v>
      </c>
      <c r="D5289">
        <v>232278</v>
      </c>
      <c r="E5289">
        <v>15500</v>
      </c>
      <c r="F5289">
        <v>15500</v>
      </c>
      <c r="G5289" s="1">
        <v>0.09</v>
      </c>
      <c r="H5289" s="1">
        <v>0.09</v>
      </c>
      <c r="I5289" s="1">
        <v>0.09</v>
      </c>
      <c r="J5289" s="1">
        <v>6.6400000000000001E-2</v>
      </c>
    </row>
    <row r="5290" spans="1:10" x14ac:dyDescent="0.2">
      <c r="A5290" t="str">
        <f>"05/03/2003"</f>
        <v>05/03/2003</v>
      </c>
      <c r="B5290">
        <v>1</v>
      </c>
      <c r="C5290">
        <v>15500</v>
      </c>
      <c r="D5290">
        <v>225160</v>
      </c>
      <c r="E5290">
        <v>15500</v>
      </c>
      <c r="F5290">
        <v>15500</v>
      </c>
      <c r="G5290" s="1">
        <v>0.09</v>
      </c>
      <c r="H5290" s="1">
        <v>0.09</v>
      </c>
      <c r="I5290" s="1">
        <v>0.09</v>
      </c>
      <c r="J5290" s="1">
        <v>6.8599999999999994E-2</v>
      </c>
    </row>
    <row r="5291" spans="1:10" x14ac:dyDescent="0.2">
      <c r="A5291" t="str">
        <f>"04/03/2003"</f>
        <v>04/03/2003</v>
      </c>
      <c r="B5291">
        <v>1</v>
      </c>
      <c r="C5291">
        <v>14500</v>
      </c>
      <c r="D5291">
        <v>222060</v>
      </c>
      <c r="E5291">
        <v>14500</v>
      </c>
      <c r="F5291">
        <v>14500</v>
      </c>
      <c r="G5291" s="1">
        <v>0.09</v>
      </c>
      <c r="H5291" s="1">
        <v>0.09</v>
      </c>
      <c r="I5291" s="1">
        <v>0.09</v>
      </c>
      <c r="J5291" s="1">
        <v>6.5000000000000002E-2</v>
      </c>
    </row>
    <row r="5292" spans="1:10" x14ac:dyDescent="0.2">
      <c r="A5292" t="str">
        <f>"03/03/2003"</f>
        <v>03/03/2003</v>
      </c>
      <c r="B5292">
        <v>1</v>
      </c>
      <c r="C5292">
        <v>14000</v>
      </c>
      <c r="D5292">
        <v>215471</v>
      </c>
      <c r="E5292">
        <v>14000</v>
      </c>
      <c r="F5292">
        <v>14000</v>
      </c>
      <c r="G5292" s="1">
        <v>0.09</v>
      </c>
      <c r="H5292" s="1">
        <v>0.09</v>
      </c>
      <c r="I5292" s="1">
        <v>0.09</v>
      </c>
      <c r="J5292" s="1">
        <v>6.4699999999999994E-2</v>
      </c>
    </row>
    <row r="5293" spans="1:10" x14ac:dyDescent="0.2">
      <c r="A5293" t="str">
        <f>"02/03/2003"</f>
        <v>02/03/2003</v>
      </c>
      <c r="B5293">
        <v>1</v>
      </c>
      <c r="C5293">
        <v>14000</v>
      </c>
      <c r="D5293">
        <v>194990</v>
      </c>
      <c r="E5293">
        <v>14000</v>
      </c>
      <c r="F5293">
        <v>14000</v>
      </c>
      <c r="G5293" s="1">
        <v>0.09</v>
      </c>
      <c r="H5293" s="1">
        <v>0.09</v>
      </c>
      <c r="I5293" s="1">
        <v>0.09</v>
      </c>
      <c r="J5293" s="1">
        <v>7.1400000000000005E-2</v>
      </c>
    </row>
    <row r="5294" spans="1:10" x14ac:dyDescent="0.2">
      <c r="A5294" t="str">
        <f>"27/02/2003"</f>
        <v>27/02/2003</v>
      </c>
      <c r="B5294">
        <v>3</v>
      </c>
      <c r="C5294">
        <v>9500</v>
      </c>
      <c r="D5294">
        <v>12472</v>
      </c>
      <c r="E5294">
        <v>9500</v>
      </c>
      <c r="F5294">
        <v>9500</v>
      </c>
      <c r="G5294" s="1">
        <v>9.6000000000000002E-2</v>
      </c>
      <c r="H5294" s="1">
        <v>9.3100000000000002E-2</v>
      </c>
      <c r="I5294" s="1">
        <v>9.3100000000000002E-2</v>
      </c>
      <c r="J5294" s="1">
        <v>0.83899999999999997</v>
      </c>
    </row>
    <row r="5295" spans="1:10" x14ac:dyDescent="0.2">
      <c r="A5295" t="str">
        <f>"26/02/2003"</f>
        <v>26/02/2003</v>
      </c>
      <c r="B5295">
        <v>1</v>
      </c>
      <c r="C5295">
        <v>7700</v>
      </c>
      <c r="D5295">
        <v>7993</v>
      </c>
      <c r="E5295">
        <v>7700</v>
      </c>
      <c r="F5295">
        <v>7700</v>
      </c>
      <c r="G5295" s="1">
        <v>9.9000000000000005E-2</v>
      </c>
      <c r="H5295" s="1">
        <v>9.7500000000000003E-2</v>
      </c>
      <c r="I5295" s="1">
        <v>9.7500000000000003E-2</v>
      </c>
      <c r="J5295" s="1">
        <v>0.95350000000000001</v>
      </c>
    </row>
    <row r="5296" spans="1:10" x14ac:dyDescent="0.2">
      <c r="A5296" t="str">
        <f>"25/02/2003"</f>
        <v>25/02/2003</v>
      </c>
      <c r="B5296">
        <v>1</v>
      </c>
      <c r="C5296">
        <v>7500</v>
      </c>
      <c r="D5296">
        <v>102477</v>
      </c>
      <c r="E5296">
        <v>7500</v>
      </c>
      <c r="F5296">
        <v>7500</v>
      </c>
      <c r="G5296" s="1">
        <v>0.09</v>
      </c>
      <c r="H5296" s="1">
        <v>0.09</v>
      </c>
      <c r="I5296" s="1">
        <v>0.09</v>
      </c>
      <c r="J5296" s="1">
        <v>7.2499999999999995E-2</v>
      </c>
    </row>
    <row r="5297" spans="1:10" x14ac:dyDescent="0.2">
      <c r="A5297" t="str">
        <f>"24/02/2003"</f>
        <v>24/02/2003</v>
      </c>
      <c r="B5297">
        <v>1</v>
      </c>
      <c r="C5297">
        <v>7500</v>
      </c>
      <c r="D5297">
        <v>107877</v>
      </c>
      <c r="E5297">
        <v>7500</v>
      </c>
      <c r="F5297">
        <v>7500</v>
      </c>
      <c r="G5297" s="1">
        <v>0.09</v>
      </c>
      <c r="H5297" s="1">
        <v>0.09</v>
      </c>
      <c r="I5297" s="1">
        <v>0.09</v>
      </c>
      <c r="J5297" s="1">
        <v>6.8900000000000003E-2</v>
      </c>
    </row>
    <row r="5298" spans="1:10" x14ac:dyDescent="0.2">
      <c r="A5298" t="str">
        <f>"23/02/2003"</f>
        <v>23/02/2003</v>
      </c>
      <c r="B5298">
        <v>1</v>
      </c>
      <c r="C5298">
        <v>10000</v>
      </c>
      <c r="D5298">
        <v>129640</v>
      </c>
      <c r="E5298">
        <v>10000</v>
      </c>
      <c r="F5298">
        <v>10000</v>
      </c>
      <c r="G5298" s="1">
        <v>0.09</v>
      </c>
      <c r="H5298" s="1">
        <v>0.09</v>
      </c>
      <c r="I5298" s="1">
        <v>0.09</v>
      </c>
      <c r="J5298" s="1">
        <v>7.6600000000000001E-2</v>
      </c>
    </row>
    <row r="5299" spans="1:10" x14ac:dyDescent="0.2">
      <c r="A5299" t="str">
        <f>"20/02/2003"</f>
        <v>20/02/2003</v>
      </c>
      <c r="B5299">
        <v>3</v>
      </c>
      <c r="C5299">
        <v>11000</v>
      </c>
      <c r="D5299">
        <v>158111</v>
      </c>
      <c r="E5299">
        <v>11000</v>
      </c>
      <c r="F5299">
        <v>11000</v>
      </c>
      <c r="G5299" s="1">
        <v>0.09</v>
      </c>
      <c r="H5299" s="1">
        <v>0.09</v>
      </c>
      <c r="I5299" s="1">
        <v>0.09</v>
      </c>
      <c r="J5299" s="1">
        <v>6.9199999999999998E-2</v>
      </c>
    </row>
    <row r="5300" spans="1:10" x14ac:dyDescent="0.2">
      <c r="A5300" t="str">
        <f>"19/02/2003"</f>
        <v>19/02/2003</v>
      </c>
      <c r="B5300">
        <v>1</v>
      </c>
      <c r="C5300">
        <v>10000</v>
      </c>
      <c r="D5300">
        <v>168678</v>
      </c>
      <c r="E5300">
        <v>10000</v>
      </c>
      <c r="F5300">
        <v>10000</v>
      </c>
      <c r="G5300" s="1">
        <v>0.09</v>
      </c>
      <c r="H5300" s="1">
        <v>0.09</v>
      </c>
      <c r="I5300" s="1">
        <v>0.09</v>
      </c>
      <c r="J5300" s="1">
        <v>5.8799999999999998E-2</v>
      </c>
    </row>
    <row r="5301" spans="1:10" x14ac:dyDescent="0.2">
      <c r="A5301" t="str">
        <f>"18/02/2003"</f>
        <v>18/02/2003</v>
      </c>
      <c r="B5301">
        <v>1</v>
      </c>
      <c r="C5301">
        <v>11000</v>
      </c>
      <c r="D5301">
        <v>188973</v>
      </c>
      <c r="E5301">
        <v>11000</v>
      </c>
      <c r="F5301">
        <v>11000</v>
      </c>
      <c r="G5301" s="1">
        <v>0.09</v>
      </c>
      <c r="H5301" s="1">
        <v>0.09</v>
      </c>
      <c r="I5301" s="1">
        <v>0.09</v>
      </c>
      <c r="J5301" s="1">
        <v>5.7799999999999997E-2</v>
      </c>
    </row>
    <row r="5302" spans="1:10" x14ac:dyDescent="0.2">
      <c r="A5302" t="str">
        <f>"17/02/2003"</f>
        <v>17/02/2003</v>
      </c>
      <c r="B5302">
        <v>1</v>
      </c>
      <c r="C5302">
        <v>13000</v>
      </c>
      <c r="D5302">
        <v>215875</v>
      </c>
      <c r="E5302">
        <v>13000</v>
      </c>
      <c r="F5302">
        <v>13000</v>
      </c>
      <c r="G5302" s="1">
        <v>0.09</v>
      </c>
      <c r="H5302" s="1">
        <v>0.09</v>
      </c>
      <c r="I5302" s="1">
        <v>0.09</v>
      </c>
      <c r="J5302" s="1">
        <v>5.9900000000000002E-2</v>
      </c>
    </row>
    <row r="5303" spans="1:10" x14ac:dyDescent="0.2">
      <c r="A5303" t="str">
        <f>"16/02/2003"</f>
        <v>16/02/2003</v>
      </c>
      <c r="B5303">
        <v>1</v>
      </c>
      <c r="C5303">
        <v>19000</v>
      </c>
      <c r="D5303">
        <v>306177</v>
      </c>
      <c r="E5303">
        <v>19000</v>
      </c>
      <c r="F5303">
        <v>19000</v>
      </c>
      <c r="G5303" s="1">
        <v>0.09</v>
      </c>
      <c r="H5303" s="1">
        <v>0.09</v>
      </c>
      <c r="I5303" s="1">
        <v>0.09</v>
      </c>
      <c r="J5303" s="1">
        <v>6.1800000000000001E-2</v>
      </c>
    </row>
    <row r="5304" spans="1:10" x14ac:dyDescent="0.2">
      <c r="A5304" t="str">
        <f>"13/02/2003"</f>
        <v>13/02/2003</v>
      </c>
      <c r="B5304">
        <v>3</v>
      </c>
      <c r="C5304">
        <v>19000</v>
      </c>
      <c r="D5304">
        <v>308278</v>
      </c>
      <c r="E5304">
        <v>19000</v>
      </c>
      <c r="F5304">
        <v>19000</v>
      </c>
      <c r="G5304" s="1">
        <v>0.09</v>
      </c>
      <c r="H5304" s="1">
        <v>0.09</v>
      </c>
      <c r="I5304" s="1">
        <v>0.09</v>
      </c>
      <c r="J5304" s="1">
        <v>6.1400000000000003E-2</v>
      </c>
    </row>
    <row r="5305" spans="1:10" x14ac:dyDescent="0.2">
      <c r="A5305" t="str">
        <f>"12/02/2003"</f>
        <v>12/02/2003</v>
      </c>
      <c r="B5305">
        <v>1</v>
      </c>
      <c r="C5305">
        <v>15000</v>
      </c>
      <c r="D5305">
        <v>251878</v>
      </c>
      <c r="E5305">
        <v>15000</v>
      </c>
      <c r="F5305">
        <v>15000</v>
      </c>
      <c r="G5305" s="1">
        <v>0.09</v>
      </c>
      <c r="H5305" s="1">
        <v>0.09</v>
      </c>
      <c r="I5305" s="1">
        <v>0.09</v>
      </c>
      <c r="J5305" s="1">
        <v>5.9299999999999999E-2</v>
      </c>
    </row>
    <row r="5306" spans="1:10" x14ac:dyDescent="0.2">
      <c r="A5306" t="str">
        <f>"11/02/2003"</f>
        <v>11/02/2003</v>
      </c>
      <c r="B5306">
        <v>1</v>
      </c>
      <c r="C5306">
        <v>15000</v>
      </c>
      <c r="D5306">
        <v>266280</v>
      </c>
      <c r="E5306">
        <v>15000</v>
      </c>
      <c r="F5306">
        <v>15000</v>
      </c>
      <c r="G5306" s="1">
        <v>0.09</v>
      </c>
      <c r="H5306" s="1">
        <v>0.09</v>
      </c>
      <c r="I5306" s="1">
        <v>0.09</v>
      </c>
      <c r="J5306" s="1">
        <v>5.6000000000000001E-2</v>
      </c>
    </row>
    <row r="5307" spans="1:10" x14ac:dyDescent="0.2">
      <c r="A5307" t="str">
        <f>"10/02/2003"</f>
        <v>10/02/2003</v>
      </c>
      <c r="B5307">
        <v>1</v>
      </c>
      <c r="C5307">
        <v>16000</v>
      </c>
      <c r="D5307">
        <v>279075</v>
      </c>
      <c r="E5307">
        <v>16000</v>
      </c>
      <c r="F5307">
        <v>16000</v>
      </c>
      <c r="G5307" s="1">
        <v>0.09</v>
      </c>
      <c r="H5307" s="1">
        <v>0.09</v>
      </c>
      <c r="I5307" s="1">
        <v>0.09</v>
      </c>
      <c r="J5307" s="1">
        <v>5.7099999999999998E-2</v>
      </c>
    </row>
    <row r="5308" spans="1:10" x14ac:dyDescent="0.2">
      <c r="A5308" t="str">
        <f>"09/02/2003"</f>
        <v>09/02/2003</v>
      </c>
      <c r="B5308">
        <v>1</v>
      </c>
      <c r="C5308">
        <v>16000</v>
      </c>
      <c r="D5308">
        <v>265273</v>
      </c>
      <c r="E5308">
        <v>16000</v>
      </c>
      <c r="F5308">
        <v>16000</v>
      </c>
      <c r="G5308" s="1">
        <v>0.09</v>
      </c>
      <c r="H5308" s="1">
        <v>0.09</v>
      </c>
      <c r="I5308" s="1">
        <v>0.09</v>
      </c>
      <c r="J5308" s="1">
        <v>6.0100000000000001E-2</v>
      </c>
    </row>
    <row r="5309" spans="1:10" x14ac:dyDescent="0.2">
      <c r="A5309" t="str">
        <f>"06/02/2003"</f>
        <v>06/02/2003</v>
      </c>
      <c r="B5309">
        <v>3</v>
      </c>
      <c r="C5309">
        <v>15000</v>
      </c>
      <c r="D5309">
        <v>240615</v>
      </c>
      <c r="E5309">
        <v>15000</v>
      </c>
      <c r="F5309">
        <v>15000</v>
      </c>
      <c r="G5309" s="1">
        <v>0.09</v>
      </c>
      <c r="H5309" s="1">
        <v>0.09</v>
      </c>
      <c r="I5309" s="1">
        <v>0.09</v>
      </c>
      <c r="J5309" s="1">
        <v>6.2100000000000002E-2</v>
      </c>
    </row>
    <row r="5310" spans="1:10" x14ac:dyDescent="0.2">
      <c r="A5310" t="str">
        <f>"05/02/2003"</f>
        <v>05/02/2003</v>
      </c>
      <c r="B5310">
        <v>1</v>
      </c>
      <c r="C5310">
        <v>20000</v>
      </c>
      <c r="D5310">
        <v>296169</v>
      </c>
      <c r="E5310">
        <v>20000</v>
      </c>
      <c r="F5310">
        <v>20000</v>
      </c>
      <c r="G5310" s="1">
        <v>0.09</v>
      </c>
      <c r="H5310" s="1">
        <v>0.09</v>
      </c>
      <c r="I5310" s="1">
        <v>0.09</v>
      </c>
      <c r="J5310" s="1">
        <v>6.7299999999999999E-2</v>
      </c>
    </row>
    <row r="5311" spans="1:10" x14ac:dyDescent="0.2">
      <c r="A5311" t="str">
        <f>"04/02/2003"</f>
        <v>04/02/2003</v>
      </c>
      <c r="B5311">
        <v>1</v>
      </c>
      <c r="C5311">
        <v>19000</v>
      </c>
      <c r="D5311">
        <v>268288</v>
      </c>
      <c r="E5311">
        <v>19000</v>
      </c>
      <c r="F5311">
        <v>19000</v>
      </c>
      <c r="G5311" s="1">
        <v>0.09</v>
      </c>
      <c r="H5311" s="1">
        <v>0.09</v>
      </c>
      <c r="I5311" s="1">
        <v>0.09</v>
      </c>
      <c r="J5311" s="1">
        <v>7.0499999999999993E-2</v>
      </c>
    </row>
    <row r="5312" spans="1:10" x14ac:dyDescent="0.2">
      <c r="A5312" t="str">
        <f>"03/02/2003"</f>
        <v>03/02/2003</v>
      </c>
      <c r="B5312">
        <v>1</v>
      </c>
      <c r="C5312">
        <v>17000</v>
      </c>
      <c r="D5312">
        <v>226881</v>
      </c>
      <c r="E5312">
        <v>17000</v>
      </c>
      <c r="F5312">
        <v>17000</v>
      </c>
      <c r="G5312" s="1">
        <v>0.09</v>
      </c>
      <c r="H5312" s="1">
        <v>0.09</v>
      </c>
      <c r="I5312" s="1">
        <v>0.09</v>
      </c>
      <c r="J5312" s="1">
        <v>7.46E-2</v>
      </c>
    </row>
    <row r="5313" spans="1:10" x14ac:dyDescent="0.2">
      <c r="A5313" t="str">
        <f>"02/02/2003"</f>
        <v>02/02/2003</v>
      </c>
      <c r="B5313">
        <v>1</v>
      </c>
      <c r="C5313">
        <v>16000</v>
      </c>
      <c r="D5313">
        <v>191007</v>
      </c>
      <c r="E5313">
        <v>16000</v>
      </c>
      <c r="F5313">
        <v>16000</v>
      </c>
      <c r="G5313" s="1">
        <v>0.09</v>
      </c>
      <c r="H5313" s="1">
        <v>0.09</v>
      </c>
      <c r="I5313" s="1">
        <v>0.09</v>
      </c>
      <c r="J5313" s="1">
        <v>8.3299999999999999E-2</v>
      </c>
    </row>
    <row r="5314" spans="1:10" x14ac:dyDescent="0.2">
      <c r="A5314" t="str">
        <f>"31/01/2003"</f>
        <v>31/01/2003</v>
      </c>
      <c r="B5314">
        <v>2</v>
      </c>
      <c r="C5314">
        <v>5500</v>
      </c>
      <c r="D5314">
        <v>7224</v>
      </c>
      <c r="E5314">
        <v>5500</v>
      </c>
      <c r="F5314">
        <v>5500</v>
      </c>
      <c r="G5314" s="1">
        <v>9.7000000000000003E-2</v>
      </c>
      <c r="H5314" s="1">
        <v>9.2200000000000004E-2</v>
      </c>
      <c r="I5314" s="1">
        <v>9.2200000000000004E-2</v>
      </c>
      <c r="J5314" s="1">
        <v>0.57399999999999995</v>
      </c>
    </row>
    <row r="5315" spans="1:10" x14ac:dyDescent="0.2">
      <c r="A5315" t="str">
        <f>"30/01/2003"</f>
        <v>30/01/2003</v>
      </c>
      <c r="B5315">
        <v>3</v>
      </c>
      <c r="C5315">
        <v>8500</v>
      </c>
      <c r="D5315">
        <v>20384</v>
      </c>
      <c r="E5315">
        <v>8500</v>
      </c>
      <c r="F5315">
        <v>8500</v>
      </c>
      <c r="G5315" s="1">
        <v>0.09</v>
      </c>
      <c r="H5315" s="1">
        <v>0.09</v>
      </c>
      <c r="I5315" s="1">
        <v>0.09</v>
      </c>
      <c r="J5315" s="1">
        <v>0.46029999999999999</v>
      </c>
    </row>
    <row r="5316" spans="1:10" x14ac:dyDescent="0.2">
      <c r="A5316" t="str">
        <f>"29/01/2003"</f>
        <v>29/01/2003</v>
      </c>
      <c r="B5316">
        <v>1</v>
      </c>
      <c r="C5316">
        <v>7500</v>
      </c>
      <c r="D5316">
        <v>7466</v>
      </c>
      <c r="E5316">
        <v>7466</v>
      </c>
      <c r="F5316">
        <v>7466</v>
      </c>
      <c r="G5316" s="1">
        <v>9.9000000000000005E-2</v>
      </c>
      <c r="H5316" s="1">
        <v>9.8199999999999996E-2</v>
      </c>
      <c r="I5316" s="1">
        <v>9.8199999999999996E-2</v>
      </c>
      <c r="J5316" s="1">
        <v>1</v>
      </c>
    </row>
    <row r="5317" spans="1:10" x14ac:dyDescent="0.2">
      <c r="A5317" t="str">
        <f>"27/01/2003"</f>
        <v>27/01/2003</v>
      </c>
      <c r="B5317">
        <v>2</v>
      </c>
      <c r="C5317">
        <v>10500</v>
      </c>
      <c r="D5317">
        <v>102131</v>
      </c>
      <c r="E5317">
        <v>10500</v>
      </c>
      <c r="F5317">
        <v>10500</v>
      </c>
      <c r="G5317" s="1">
        <v>0.09</v>
      </c>
      <c r="H5317" s="1">
        <v>0.09</v>
      </c>
      <c r="I5317" s="1">
        <v>0.09</v>
      </c>
      <c r="J5317" s="1">
        <v>0.1021</v>
      </c>
    </row>
    <row r="5318" spans="1:10" x14ac:dyDescent="0.2">
      <c r="A5318" t="str">
        <f>"26/01/2003"</f>
        <v>26/01/2003</v>
      </c>
      <c r="B5318">
        <v>1</v>
      </c>
      <c r="C5318">
        <v>8000</v>
      </c>
      <c r="D5318">
        <v>96775</v>
      </c>
      <c r="E5318">
        <v>8000</v>
      </c>
      <c r="F5318">
        <v>8000</v>
      </c>
      <c r="G5318" s="1">
        <v>0.09</v>
      </c>
      <c r="H5318" s="1">
        <v>0.09</v>
      </c>
      <c r="I5318" s="1">
        <v>0.09</v>
      </c>
      <c r="J5318" s="1">
        <v>8.2000000000000003E-2</v>
      </c>
    </row>
    <row r="5319" spans="1:10" x14ac:dyDescent="0.2">
      <c r="A5319" t="str">
        <f>"23/01/2003"</f>
        <v>23/01/2003</v>
      </c>
      <c r="B5319">
        <v>3</v>
      </c>
      <c r="C5319">
        <v>7500</v>
      </c>
      <c r="D5319">
        <v>109776</v>
      </c>
      <c r="E5319">
        <v>7500</v>
      </c>
      <c r="F5319">
        <v>7500</v>
      </c>
      <c r="G5319" s="1">
        <v>0.09</v>
      </c>
      <c r="H5319" s="1">
        <v>0.09</v>
      </c>
      <c r="I5319" s="1">
        <v>0.09</v>
      </c>
      <c r="J5319" s="1">
        <v>6.7699999999999996E-2</v>
      </c>
    </row>
    <row r="5320" spans="1:10" x14ac:dyDescent="0.2">
      <c r="A5320" t="str">
        <f>"22/01/2003"</f>
        <v>22/01/2003</v>
      </c>
      <c r="B5320">
        <v>1</v>
      </c>
      <c r="C5320">
        <v>7500</v>
      </c>
      <c r="D5320">
        <v>136481</v>
      </c>
      <c r="E5320">
        <v>7500</v>
      </c>
      <c r="F5320">
        <v>7500</v>
      </c>
      <c r="G5320" s="1">
        <v>0.09</v>
      </c>
      <c r="H5320" s="1">
        <v>0.09</v>
      </c>
      <c r="I5320" s="1">
        <v>0.09</v>
      </c>
      <c r="J5320" s="1">
        <v>5.4399999999999997E-2</v>
      </c>
    </row>
    <row r="5321" spans="1:10" x14ac:dyDescent="0.2">
      <c r="A5321" t="str">
        <f>"21/01/2003"</f>
        <v>21/01/2003</v>
      </c>
      <c r="B5321">
        <v>1</v>
      </c>
      <c r="C5321">
        <v>8500</v>
      </c>
      <c r="D5321">
        <v>156490</v>
      </c>
      <c r="E5321">
        <v>8500</v>
      </c>
      <c r="F5321">
        <v>8500</v>
      </c>
      <c r="G5321" s="1">
        <v>0.09</v>
      </c>
      <c r="H5321" s="1">
        <v>0.09</v>
      </c>
      <c r="I5321" s="1">
        <v>0.09</v>
      </c>
      <c r="J5321" s="1">
        <v>5.3800000000000001E-2</v>
      </c>
    </row>
    <row r="5322" spans="1:10" x14ac:dyDescent="0.2">
      <c r="A5322" t="str">
        <f>"20/01/2003"</f>
        <v>20/01/2003</v>
      </c>
      <c r="B5322">
        <v>1</v>
      </c>
      <c r="C5322">
        <v>10000</v>
      </c>
      <c r="D5322">
        <v>178289</v>
      </c>
      <c r="E5322">
        <v>10000</v>
      </c>
      <c r="F5322">
        <v>10000</v>
      </c>
      <c r="G5322" s="1">
        <v>0.09</v>
      </c>
      <c r="H5322" s="1">
        <v>0.09</v>
      </c>
      <c r="I5322" s="1">
        <v>0.09</v>
      </c>
      <c r="J5322" s="1">
        <v>5.5599999999999997E-2</v>
      </c>
    </row>
    <row r="5323" spans="1:10" x14ac:dyDescent="0.2">
      <c r="A5323" t="str">
        <f>"19/01/2003"</f>
        <v>19/01/2003</v>
      </c>
      <c r="B5323">
        <v>1</v>
      </c>
      <c r="C5323">
        <v>12000</v>
      </c>
      <c r="D5323">
        <v>202989</v>
      </c>
      <c r="E5323">
        <v>12000</v>
      </c>
      <c r="F5323">
        <v>12000</v>
      </c>
      <c r="G5323" s="1">
        <v>0.09</v>
      </c>
      <c r="H5323" s="1">
        <v>0.09</v>
      </c>
      <c r="I5323" s="1">
        <v>0.09</v>
      </c>
      <c r="J5323" s="1">
        <v>5.8700000000000002E-2</v>
      </c>
    </row>
  </sheetData>
  <sortState ref="A2:L5323">
    <sortCondition descending="1" ref="A2:A532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תוצאות מכרז יומי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קנטרוביץ</dc:creator>
  <cp:lastModifiedBy>עדן קנטרוביץ</cp:lastModifiedBy>
  <dcterms:created xsi:type="dcterms:W3CDTF">2026-09-17T10:13:47Z</dcterms:created>
  <dcterms:modified xsi:type="dcterms:W3CDTF">2026-09-22T08:48:30Z</dcterms:modified>
</cp:coreProperties>
</file>